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DEZEMBRO E 13 SALARIO DE 2021 E" sheetId="1" r:id="rId1"/>
  </sheets>
  <calcPr calcId="0"/>
</workbook>
</file>

<file path=xl/calcChain.xml><?xml version="1.0" encoding="utf-8"?>
<calcChain xmlns="http://schemas.openxmlformats.org/spreadsheetml/2006/main">
  <c r="A1" i="1" l="1"/>
  <c r="A2" i="1"/>
  <c r="B2" i="1"/>
  <c r="C2" i="1"/>
  <c r="D2" i="1"/>
  <c r="A3" i="1"/>
  <c r="B3" i="1"/>
  <c r="C3" i="1"/>
  <c r="D3" i="1"/>
  <c r="A4" i="1"/>
  <c r="A5" i="1"/>
  <c r="B5" i="1"/>
  <c r="C5" i="1"/>
  <c r="D5" i="1"/>
  <c r="E5" i="1"/>
  <c r="F5" i="1"/>
  <c r="G5" i="1"/>
  <c r="H5" i="1"/>
  <c r="I5" i="1"/>
  <c r="J5" i="1"/>
  <c r="K5" i="1"/>
  <c r="A6" i="1"/>
  <c r="B6" i="1"/>
  <c r="C6" i="1"/>
  <c r="D6" i="1"/>
  <c r="E6" i="1"/>
  <c r="F6" i="1"/>
  <c r="G6" i="1"/>
  <c r="H6" i="1"/>
  <c r="I6" i="1"/>
  <c r="J6" i="1"/>
  <c r="K6" i="1"/>
  <c r="A7" i="1"/>
  <c r="B7" i="1"/>
  <c r="C7" i="1"/>
  <c r="D7" i="1"/>
  <c r="E7" i="1"/>
  <c r="F7" i="1"/>
  <c r="G7" i="1"/>
  <c r="H7" i="1"/>
  <c r="I7" i="1"/>
  <c r="J7" i="1"/>
  <c r="K7" i="1"/>
  <c r="A8" i="1"/>
  <c r="B8" i="1"/>
  <c r="C8" i="1"/>
  <c r="D8" i="1"/>
  <c r="E8" i="1"/>
  <c r="F8" i="1"/>
  <c r="G8" i="1"/>
  <c r="H8" i="1"/>
  <c r="I8" i="1"/>
  <c r="J8" i="1"/>
  <c r="K8" i="1"/>
  <c r="A9" i="1"/>
  <c r="B9" i="1"/>
  <c r="C9" i="1"/>
  <c r="D9" i="1"/>
  <c r="E9" i="1"/>
  <c r="F9" i="1"/>
  <c r="G9" i="1"/>
  <c r="H9" i="1"/>
  <c r="I9" i="1"/>
  <c r="J9" i="1"/>
  <c r="K9" i="1"/>
  <c r="A10" i="1"/>
  <c r="B10" i="1"/>
  <c r="C10" i="1"/>
  <c r="D10" i="1"/>
  <c r="E10" i="1"/>
  <c r="F10" i="1"/>
  <c r="G10" i="1"/>
  <c r="H10" i="1"/>
  <c r="I10" i="1"/>
  <c r="J10" i="1"/>
  <c r="K10" i="1"/>
  <c r="A11" i="1"/>
  <c r="B11" i="1"/>
  <c r="C11" i="1"/>
  <c r="D11" i="1"/>
  <c r="E11" i="1"/>
  <c r="F11" i="1"/>
  <c r="G11" i="1"/>
  <c r="H11" i="1"/>
  <c r="I11" i="1"/>
  <c r="J11" i="1"/>
  <c r="K11" i="1"/>
  <c r="A12" i="1"/>
  <c r="B12" i="1"/>
  <c r="C12" i="1"/>
  <c r="D12" i="1"/>
  <c r="E12" i="1"/>
  <c r="F12" i="1"/>
  <c r="G12" i="1"/>
  <c r="H12" i="1"/>
  <c r="I12" i="1"/>
  <c r="J12" i="1"/>
  <c r="K12" i="1"/>
  <c r="A13" i="1"/>
  <c r="B13" i="1"/>
  <c r="C13" i="1"/>
  <c r="D13" i="1"/>
  <c r="E13" i="1"/>
  <c r="F13" i="1"/>
  <c r="G13" i="1"/>
  <c r="H13" i="1"/>
  <c r="I13" i="1"/>
  <c r="J13" i="1"/>
  <c r="K13" i="1"/>
  <c r="A14" i="1"/>
  <c r="B14" i="1"/>
  <c r="C14" i="1"/>
  <c r="D14" i="1"/>
  <c r="E14" i="1"/>
  <c r="F14" i="1"/>
  <c r="G14" i="1"/>
  <c r="H14" i="1"/>
  <c r="I14" i="1"/>
  <c r="J14" i="1"/>
  <c r="K14" i="1"/>
  <c r="A15" i="1"/>
  <c r="B15" i="1"/>
  <c r="C15" i="1"/>
  <c r="D15" i="1"/>
  <c r="E15" i="1"/>
  <c r="F15" i="1"/>
  <c r="G15" i="1"/>
  <c r="H15" i="1"/>
  <c r="I15" i="1"/>
  <c r="J15" i="1"/>
  <c r="K15" i="1"/>
  <c r="A16" i="1"/>
  <c r="B16" i="1"/>
  <c r="C16" i="1"/>
  <c r="D16" i="1"/>
  <c r="E16" i="1"/>
  <c r="F16" i="1"/>
  <c r="G16" i="1"/>
  <c r="H16" i="1"/>
  <c r="I16" i="1"/>
  <c r="J16" i="1"/>
  <c r="K16" i="1"/>
  <c r="A17" i="1"/>
  <c r="B17" i="1"/>
  <c r="C17" i="1"/>
  <c r="D17" i="1"/>
  <c r="E17" i="1"/>
  <c r="F17" i="1"/>
  <c r="G17" i="1"/>
  <c r="H17" i="1"/>
  <c r="I17" i="1"/>
  <c r="J17" i="1"/>
  <c r="K17" i="1"/>
  <c r="A18" i="1"/>
  <c r="B18" i="1"/>
  <c r="C18" i="1"/>
  <c r="D18" i="1"/>
  <c r="E18" i="1"/>
  <c r="F18" i="1"/>
  <c r="G18" i="1"/>
  <c r="H18" i="1"/>
  <c r="I18" i="1"/>
  <c r="J18" i="1"/>
  <c r="K18" i="1"/>
  <c r="A19" i="1"/>
  <c r="B19" i="1"/>
  <c r="C19" i="1"/>
  <c r="D19" i="1"/>
  <c r="E19" i="1"/>
  <c r="F19" i="1"/>
  <c r="G19" i="1"/>
  <c r="H19" i="1"/>
  <c r="I19" i="1"/>
  <c r="J19" i="1"/>
  <c r="K19" i="1"/>
  <c r="A20" i="1"/>
  <c r="B20" i="1"/>
  <c r="C20" i="1"/>
  <c r="D20" i="1"/>
  <c r="E20" i="1"/>
  <c r="F20" i="1"/>
  <c r="G20" i="1"/>
  <c r="H20" i="1"/>
  <c r="I20" i="1"/>
  <c r="J20" i="1"/>
  <c r="K20" i="1"/>
  <c r="A21" i="1"/>
  <c r="B21" i="1"/>
  <c r="C21" i="1"/>
  <c r="D21" i="1"/>
  <c r="E21" i="1"/>
  <c r="F21" i="1"/>
  <c r="G21" i="1"/>
  <c r="H21" i="1"/>
  <c r="I21" i="1"/>
  <c r="J21" i="1"/>
  <c r="K21" i="1"/>
  <c r="A22" i="1"/>
  <c r="B22" i="1"/>
  <c r="C22" i="1"/>
  <c r="D22" i="1"/>
  <c r="E22" i="1"/>
  <c r="F22" i="1"/>
  <c r="G22" i="1"/>
  <c r="H22" i="1"/>
  <c r="I22" i="1"/>
  <c r="J22" i="1"/>
  <c r="K22" i="1"/>
  <c r="A23" i="1"/>
  <c r="B23" i="1"/>
  <c r="C23" i="1"/>
  <c r="D23" i="1"/>
  <c r="E23" i="1"/>
  <c r="F23" i="1"/>
  <c r="G23" i="1"/>
  <c r="H23" i="1"/>
  <c r="I23" i="1"/>
  <c r="J23" i="1"/>
  <c r="K23" i="1"/>
  <c r="A24" i="1"/>
  <c r="B24" i="1"/>
  <c r="C24" i="1"/>
  <c r="D24" i="1"/>
  <c r="E24" i="1"/>
  <c r="F24" i="1"/>
  <c r="G24" i="1"/>
  <c r="H24" i="1"/>
  <c r="I24" i="1"/>
  <c r="J24" i="1"/>
  <c r="K24" i="1"/>
  <c r="A25" i="1"/>
  <c r="B25" i="1"/>
  <c r="C25" i="1"/>
  <c r="D25" i="1"/>
  <c r="E25" i="1"/>
  <c r="F25" i="1"/>
  <c r="G25" i="1"/>
  <c r="H25" i="1"/>
  <c r="I25" i="1"/>
  <c r="J25" i="1"/>
  <c r="K25" i="1"/>
  <c r="A26" i="1"/>
  <c r="B26" i="1"/>
  <c r="C26" i="1"/>
  <c r="D26" i="1"/>
  <c r="E26" i="1"/>
  <c r="F26" i="1"/>
  <c r="G26" i="1"/>
  <c r="H26" i="1"/>
  <c r="I26" i="1"/>
  <c r="J26" i="1"/>
  <c r="K26" i="1"/>
  <c r="A27" i="1"/>
  <c r="B27" i="1"/>
  <c r="C27" i="1"/>
  <c r="D27" i="1"/>
  <c r="E27" i="1"/>
  <c r="F27" i="1"/>
  <c r="G27" i="1"/>
  <c r="H27" i="1"/>
  <c r="I27" i="1"/>
  <c r="J27" i="1"/>
  <c r="K27" i="1"/>
  <c r="A28" i="1"/>
  <c r="B28" i="1"/>
  <c r="C28" i="1"/>
  <c r="D28" i="1"/>
  <c r="E28" i="1"/>
  <c r="F28" i="1"/>
  <c r="G28" i="1"/>
  <c r="H28" i="1"/>
  <c r="I28" i="1"/>
  <c r="J28" i="1"/>
  <c r="K28" i="1"/>
  <c r="A29" i="1"/>
  <c r="B29" i="1"/>
  <c r="C29" i="1"/>
  <c r="D29" i="1"/>
  <c r="E29" i="1"/>
  <c r="F29" i="1"/>
  <c r="G29" i="1"/>
  <c r="H29" i="1"/>
  <c r="I29" i="1"/>
  <c r="J29" i="1"/>
  <c r="K29" i="1"/>
  <c r="A30" i="1"/>
  <c r="B30" i="1"/>
  <c r="C30" i="1"/>
  <c r="D30" i="1"/>
  <c r="E30" i="1"/>
  <c r="F30" i="1"/>
  <c r="G30" i="1"/>
  <c r="H30" i="1"/>
  <c r="I30" i="1"/>
  <c r="J30" i="1"/>
  <c r="K30" i="1"/>
  <c r="A31" i="1"/>
  <c r="B31" i="1"/>
  <c r="C31" i="1"/>
  <c r="D31" i="1"/>
  <c r="E31" i="1"/>
  <c r="F31" i="1"/>
  <c r="G31" i="1"/>
  <c r="H31" i="1"/>
  <c r="I31" i="1"/>
  <c r="J31" i="1"/>
  <c r="K31" i="1"/>
  <c r="A32" i="1"/>
  <c r="B32" i="1"/>
  <c r="C32" i="1"/>
  <c r="D32" i="1"/>
  <c r="E32" i="1"/>
  <c r="F32" i="1"/>
  <c r="G32" i="1"/>
  <c r="H32" i="1"/>
  <c r="I32" i="1"/>
  <c r="J32" i="1"/>
  <c r="K32" i="1"/>
  <c r="A33" i="1"/>
  <c r="B33" i="1"/>
  <c r="C33" i="1"/>
  <c r="D33" i="1"/>
  <c r="E33" i="1"/>
  <c r="F33" i="1"/>
  <c r="G33" i="1"/>
  <c r="H33" i="1"/>
  <c r="I33" i="1"/>
  <c r="J33" i="1"/>
  <c r="K33" i="1"/>
  <c r="A34" i="1"/>
  <c r="B34" i="1"/>
  <c r="C34" i="1"/>
  <c r="D34" i="1"/>
  <c r="E34" i="1"/>
  <c r="F34" i="1"/>
  <c r="G34" i="1"/>
  <c r="H34" i="1"/>
  <c r="I34" i="1"/>
  <c r="J34" i="1"/>
  <c r="K34" i="1"/>
  <c r="A35" i="1"/>
  <c r="B35" i="1"/>
  <c r="C35" i="1"/>
  <c r="D35" i="1"/>
  <c r="E35" i="1"/>
  <c r="F35" i="1"/>
  <c r="G35" i="1"/>
  <c r="H35" i="1"/>
  <c r="I35" i="1"/>
  <c r="J35" i="1"/>
  <c r="K35" i="1"/>
  <c r="A36" i="1"/>
  <c r="B36" i="1"/>
  <c r="C36" i="1"/>
  <c r="D36" i="1"/>
  <c r="E36" i="1"/>
  <c r="F36" i="1"/>
  <c r="G36" i="1"/>
  <c r="H36" i="1"/>
  <c r="I36" i="1"/>
  <c r="J36" i="1"/>
  <c r="K36" i="1"/>
  <c r="A37" i="1"/>
  <c r="B37" i="1"/>
  <c r="C37" i="1"/>
  <c r="D37" i="1"/>
  <c r="E37" i="1"/>
  <c r="F37" i="1"/>
  <c r="G37" i="1"/>
  <c r="H37" i="1"/>
  <c r="I37" i="1"/>
  <c r="J37" i="1"/>
  <c r="K37" i="1"/>
  <c r="A38" i="1"/>
  <c r="B38" i="1"/>
  <c r="C38" i="1"/>
  <c r="D38" i="1"/>
  <c r="E38" i="1"/>
  <c r="F38" i="1"/>
  <c r="G38" i="1"/>
  <c r="H38" i="1"/>
  <c r="I38" i="1"/>
  <c r="J38" i="1"/>
  <c r="K38" i="1"/>
  <c r="A39" i="1"/>
  <c r="B39" i="1"/>
  <c r="C39" i="1"/>
  <c r="D39" i="1"/>
  <c r="E39" i="1"/>
  <c r="F39" i="1"/>
  <c r="G39" i="1"/>
  <c r="H39" i="1"/>
  <c r="I39" i="1"/>
  <c r="J39" i="1"/>
  <c r="K39" i="1"/>
  <c r="A40" i="1"/>
  <c r="B40" i="1"/>
  <c r="C40" i="1"/>
  <c r="D40" i="1"/>
  <c r="E40" i="1"/>
  <c r="F40" i="1"/>
  <c r="G40" i="1"/>
  <c r="H40" i="1"/>
  <c r="I40" i="1"/>
  <c r="J40" i="1"/>
  <c r="K40" i="1"/>
  <c r="A41" i="1"/>
  <c r="B41" i="1"/>
  <c r="C41" i="1"/>
  <c r="D41" i="1"/>
  <c r="E41" i="1"/>
  <c r="F41" i="1"/>
  <c r="G41" i="1"/>
  <c r="H41" i="1"/>
  <c r="I41" i="1"/>
  <c r="J41" i="1"/>
  <c r="K41" i="1"/>
  <c r="A42" i="1"/>
  <c r="B42" i="1"/>
  <c r="C42" i="1"/>
  <c r="D42" i="1"/>
  <c r="E42" i="1"/>
  <c r="F42" i="1"/>
  <c r="G42" i="1"/>
  <c r="H42" i="1"/>
  <c r="I42" i="1"/>
  <c r="J42" i="1"/>
  <c r="K42" i="1"/>
  <c r="A43" i="1"/>
  <c r="B43" i="1"/>
  <c r="C43" i="1"/>
  <c r="D43" i="1"/>
  <c r="E43" i="1"/>
  <c r="F43" i="1"/>
  <c r="G43" i="1"/>
  <c r="H43" i="1"/>
  <c r="I43" i="1"/>
  <c r="J43" i="1"/>
  <c r="K43" i="1"/>
  <c r="A44" i="1"/>
  <c r="B44" i="1"/>
  <c r="C44" i="1"/>
  <c r="D44" i="1"/>
  <c r="E44" i="1"/>
  <c r="F44" i="1"/>
  <c r="G44" i="1"/>
  <c r="H44" i="1"/>
  <c r="I44" i="1"/>
  <c r="J44" i="1"/>
  <c r="K44" i="1"/>
  <c r="A45" i="1"/>
  <c r="B45" i="1"/>
  <c r="C45" i="1"/>
  <c r="D45" i="1"/>
  <c r="E45" i="1"/>
  <c r="F45" i="1"/>
  <c r="G45" i="1"/>
  <c r="H45" i="1"/>
  <c r="I45" i="1"/>
  <c r="J45" i="1"/>
  <c r="K45" i="1"/>
  <c r="A46" i="1"/>
  <c r="B46" i="1"/>
  <c r="C46" i="1"/>
  <c r="D46" i="1"/>
  <c r="E46" i="1"/>
  <c r="F46" i="1"/>
  <c r="G46" i="1"/>
  <c r="H46" i="1"/>
  <c r="I46" i="1"/>
  <c r="J46" i="1"/>
  <c r="K46" i="1"/>
  <c r="A47" i="1"/>
  <c r="B47" i="1"/>
  <c r="C47" i="1"/>
  <c r="D47" i="1"/>
  <c r="E47" i="1"/>
  <c r="F47" i="1"/>
  <c r="G47" i="1"/>
  <c r="H47" i="1"/>
  <c r="I47" i="1"/>
  <c r="J47" i="1"/>
  <c r="K47" i="1"/>
  <c r="A48" i="1"/>
  <c r="B48" i="1"/>
  <c r="C48" i="1"/>
  <c r="D48" i="1"/>
  <c r="E48" i="1"/>
  <c r="F48" i="1"/>
  <c r="G48" i="1"/>
  <c r="H48" i="1"/>
  <c r="I48" i="1"/>
  <c r="J48" i="1"/>
  <c r="K48" i="1"/>
  <c r="A49" i="1"/>
  <c r="B49" i="1"/>
  <c r="C49" i="1"/>
  <c r="D49" i="1"/>
  <c r="E49" i="1"/>
  <c r="F49" i="1"/>
  <c r="G49" i="1"/>
  <c r="H49" i="1"/>
  <c r="I49" i="1"/>
  <c r="J49" i="1"/>
  <c r="K49" i="1"/>
  <c r="A50" i="1"/>
  <c r="B50" i="1"/>
  <c r="C50" i="1"/>
  <c r="D50" i="1"/>
  <c r="E50" i="1"/>
  <c r="F50" i="1"/>
  <c r="G50" i="1"/>
  <c r="H50" i="1"/>
  <c r="I50" i="1"/>
  <c r="J50" i="1"/>
  <c r="K50" i="1"/>
  <c r="A51" i="1"/>
  <c r="B51" i="1"/>
  <c r="C51" i="1"/>
  <c r="D51" i="1"/>
  <c r="E51" i="1"/>
  <c r="F51" i="1"/>
  <c r="G51" i="1"/>
  <c r="H51" i="1"/>
  <c r="I51" i="1"/>
  <c r="J51" i="1"/>
  <c r="K51" i="1"/>
  <c r="A52" i="1"/>
  <c r="B52" i="1"/>
  <c r="C52" i="1"/>
  <c r="D52" i="1"/>
  <c r="E52" i="1"/>
  <c r="F52" i="1"/>
  <c r="G52" i="1"/>
  <c r="H52" i="1"/>
  <c r="I52" i="1"/>
  <c r="J52" i="1"/>
  <c r="K52" i="1"/>
  <c r="A53" i="1"/>
  <c r="B53" i="1"/>
  <c r="C53" i="1"/>
  <c r="D53" i="1"/>
  <c r="E53" i="1"/>
  <c r="F53" i="1"/>
  <c r="G53" i="1"/>
  <c r="H53" i="1"/>
  <c r="I53" i="1"/>
  <c r="J53" i="1"/>
  <c r="K53" i="1"/>
  <c r="A54" i="1"/>
  <c r="B54" i="1"/>
  <c r="C54" i="1"/>
  <c r="D54" i="1"/>
  <c r="E54" i="1"/>
  <c r="F54" i="1"/>
  <c r="G54" i="1"/>
  <c r="H54" i="1"/>
  <c r="I54" i="1"/>
  <c r="J54" i="1"/>
  <c r="K54" i="1"/>
  <c r="A55" i="1"/>
  <c r="B55" i="1"/>
  <c r="C55" i="1"/>
  <c r="D55" i="1"/>
  <c r="E55" i="1"/>
  <c r="F55" i="1"/>
  <c r="G55" i="1"/>
  <c r="H55" i="1"/>
  <c r="I55" i="1"/>
  <c r="J55" i="1"/>
  <c r="K55" i="1"/>
  <c r="A56" i="1"/>
  <c r="B56" i="1"/>
  <c r="C56" i="1"/>
  <c r="D56" i="1"/>
  <c r="E56" i="1"/>
  <c r="F56" i="1"/>
  <c r="G56" i="1"/>
  <c r="H56" i="1"/>
  <c r="I56" i="1"/>
  <c r="J56" i="1"/>
  <c r="K56" i="1"/>
  <c r="A57" i="1"/>
  <c r="B57" i="1"/>
  <c r="C57" i="1"/>
  <c r="D57" i="1"/>
  <c r="E57" i="1"/>
  <c r="F57" i="1"/>
  <c r="G57" i="1"/>
  <c r="H57" i="1"/>
  <c r="I57" i="1"/>
  <c r="J57" i="1"/>
  <c r="K57" i="1"/>
  <c r="A58" i="1"/>
  <c r="B58" i="1"/>
  <c r="C58" i="1"/>
  <c r="D58" i="1"/>
  <c r="E58" i="1"/>
  <c r="F58" i="1"/>
  <c r="G58" i="1"/>
  <c r="H58" i="1"/>
  <c r="I58" i="1"/>
  <c r="J58" i="1"/>
  <c r="K58" i="1"/>
  <c r="A59" i="1"/>
  <c r="B59" i="1"/>
  <c r="C59" i="1"/>
  <c r="D59" i="1"/>
  <c r="E59" i="1"/>
  <c r="F59" i="1"/>
  <c r="G59" i="1"/>
  <c r="H59" i="1"/>
  <c r="I59" i="1"/>
  <c r="J59" i="1"/>
  <c r="K59" i="1"/>
  <c r="A60" i="1"/>
  <c r="B60" i="1"/>
  <c r="C60" i="1"/>
  <c r="D60" i="1"/>
  <c r="E60" i="1"/>
  <c r="F60" i="1"/>
  <c r="G60" i="1"/>
  <c r="H60" i="1"/>
  <c r="I60" i="1"/>
  <c r="J60" i="1"/>
  <c r="K60" i="1"/>
  <c r="A61" i="1"/>
  <c r="B61" i="1"/>
  <c r="C61" i="1"/>
  <c r="D61" i="1"/>
  <c r="E61" i="1"/>
  <c r="F61" i="1"/>
  <c r="G61" i="1"/>
  <c r="H61" i="1"/>
  <c r="I61" i="1"/>
  <c r="J61" i="1"/>
  <c r="K61" i="1"/>
  <c r="A62" i="1"/>
  <c r="B62" i="1"/>
  <c r="C62" i="1"/>
  <c r="D62" i="1"/>
  <c r="E62" i="1"/>
  <c r="F62" i="1"/>
  <c r="G62" i="1"/>
  <c r="H62" i="1"/>
  <c r="I62" i="1"/>
  <c r="J62" i="1"/>
  <c r="K62" i="1"/>
  <c r="A63" i="1"/>
  <c r="B63" i="1"/>
  <c r="C63" i="1"/>
  <c r="D63" i="1"/>
  <c r="E63" i="1"/>
  <c r="F63" i="1"/>
  <c r="G63" i="1"/>
  <c r="H63" i="1"/>
  <c r="I63" i="1"/>
  <c r="J63" i="1"/>
  <c r="K63" i="1"/>
  <c r="A64" i="1"/>
  <c r="B64" i="1"/>
  <c r="C64" i="1"/>
  <c r="D64" i="1"/>
  <c r="E64" i="1"/>
  <c r="F64" i="1"/>
  <c r="G64" i="1"/>
  <c r="H64" i="1"/>
  <c r="I64" i="1"/>
  <c r="J64" i="1"/>
  <c r="K64" i="1"/>
  <c r="A65" i="1"/>
  <c r="B65" i="1"/>
  <c r="C65" i="1"/>
  <c r="D65" i="1"/>
  <c r="E65" i="1"/>
  <c r="F65" i="1"/>
  <c r="G65" i="1"/>
  <c r="H65" i="1"/>
  <c r="I65" i="1"/>
  <c r="J65" i="1"/>
  <c r="K65" i="1"/>
  <c r="A66" i="1"/>
  <c r="B66" i="1"/>
  <c r="C66" i="1"/>
  <c r="D66" i="1"/>
  <c r="E66" i="1"/>
  <c r="F66" i="1"/>
  <c r="G66" i="1"/>
  <c r="H66" i="1"/>
  <c r="I66" i="1"/>
  <c r="J66" i="1"/>
  <c r="K66" i="1"/>
  <c r="A67" i="1"/>
  <c r="B67" i="1"/>
  <c r="C67" i="1"/>
  <c r="D67" i="1"/>
  <c r="E67" i="1"/>
  <c r="F67" i="1"/>
  <c r="G67" i="1"/>
  <c r="H67" i="1"/>
  <c r="I67" i="1"/>
  <c r="J67" i="1"/>
  <c r="K67" i="1"/>
  <c r="A68" i="1"/>
  <c r="B68" i="1"/>
  <c r="C68" i="1"/>
  <c r="D68" i="1"/>
  <c r="E68" i="1"/>
  <c r="F68" i="1"/>
  <c r="G68" i="1"/>
  <c r="H68" i="1"/>
  <c r="I68" i="1"/>
  <c r="J68" i="1"/>
  <c r="K68" i="1"/>
  <c r="A69" i="1"/>
  <c r="B69" i="1"/>
  <c r="C69" i="1"/>
  <c r="D69" i="1"/>
  <c r="E69" i="1"/>
  <c r="F69" i="1"/>
  <c r="G69" i="1"/>
  <c r="H69" i="1"/>
  <c r="I69" i="1"/>
  <c r="J69" i="1"/>
  <c r="K69" i="1"/>
  <c r="A70" i="1"/>
  <c r="B70" i="1"/>
  <c r="C70" i="1"/>
  <c r="D70" i="1"/>
  <c r="E70" i="1"/>
  <c r="F70" i="1"/>
  <c r="G70" i="1"/>
  <c r="H70" i="1"/>
  <c r="I70" i="1"/>
  <c r="J70" i="1"/>
  <c r="K70" i="1"/>
  <c r="A71" i="1"/>
  <c r="B71" i="1"/>
  <c r="C71" i="1"/>
  <c r="D71" i="1"/>
  <c r="E71" i="1"/>
  <c r="F71" i="1"/>
  <c r="G71" i="1"/>
  <c r="H71" i="1"/>
  <c r="I71" i="1"/>
  <c r="J71" i="1"/>
  <c r="K71" i="1"/>
  <c r="A72" i="1"/>
  <c r="B72" i="1"/>
  <c r="C72" i="1"/>
  <c r="D72" i="1"/>
  <c r="E72" i="1"/>
  <c r="F72" i="1"/>
  <c r="G72" i="1"/>
  <c r="H72" i="1"/>
  <c r="I72" i="1"/>
  <c r="J72" i="1"/>
  <c r="K72" i="1"/>
  <c r="A73" i="1"/>
  <c r="B73" i="1"/>
  <c r="C73" i="1"/>
  <c r="D73" i="1"/>
  <c r="E73" i="1"/>
  <c r="F73" i="1"/>
  <c r="G73" i="1"/>
  <c r="H73" i="1"/>
  <c r="I73" i="1"/>
  <c r="J73" i="1"/>
  <c r="K73" i="1"/>
  <c r="A74" i="1"/>
  <c r="B74" i="1"/>
  <c r="C74" i="1"/>
  <c r="D74" i="1"/>
  <c r="E74" i="1"/>
  <c r="F74" i="1"/>
  <c r="G74" i="1"/>
  <c r="H74" i="1"/>
  <c r="I74" i="1"/>
  <c r="J74" i="1"/>
  <c r="K74" i="1"/>
  <c r="A75" i="1"/>
  <c r="B75" i="1"/>
  <c r="C75" i="1"/>
  <c r="D75" i="1"/>
  <c r="E75" i="1"/>
  <c r="F75" i="1"/>
  <c r="G75" i="1"/>
  <c r="H75" i="1"/>
  <c r="I75" i="1"/>
  <c r="J75" i="1"/>
  <c r="K75" i="1"/>
  <c r="A76" i="1"/>
  <c r="B76" i="1"/>
  <c r="C76" i="1"/>
  <c r="D76" i="1"/>
  <c r="E76" i="1"/>
  <c r="F76" i="1"/>
  <c r="G76" i="1"/>
  <c r="H76" i="1"/>
  <c r="I76" i="1"/>
  <c r="J76" i="1"/>
  <c r="K76" i="1"/>
  <c r="A77" i="1"/>
  <c r="B77" i="1"/>
  <c r="C77" i="1"/>
  <c r="D77" i="1"/>
  <c r="E77" i="1"/>
  <c r="F77" i="1"/>
  <c r="G77" i="1"/>
  <c r="H77" i="1"/>
  <c r="I77" i="1"/>
  <c r="J77" i="1"/>
  <c r="K77" i="1"/>
  <c r="A78" i="1"/>
  <c r="B78" i="1"/>
  <c r="C78" i="1"/>
  <c r="D78" i="1"/>
  <c r="E78" i="1"/>
  <c r="F78" i="1"/>
  <c r="G78" i="1"/>
  <c r="H78" i="1"/>
  <c r="I78" i="1"/>
  <c r="J78" i="1"/>
  <c r="K78" i="1"/>
  <c r="A79" i="1"/>
  <c r="B79" i="1"/>
  <c r="C79" i="1"/>
  <c r="D79" i="1"/>
  <c r="E79" i="1"/>
  <c r="F79" i="1"/>
  <c r="G79" i="1"/>
  <c r="H79" i="1"/>
  <c r="I79" i="1"/>
  <c r="J79" i="1"/>
  <c r="K79" i="1"/>
  <c r="A80" i="1"/>
  <c r="B80" i="1"/>
  <c r="C80" i="1"/>
  <c r="D80" i="1"/>
  <c r="E80" i="1"/>
  <c r="F80" i="1"/>
  <c r="G80" i="1"/>
  <c r="H80" i="1"/>
  <c r="I80" i="1"/>
  <c r="J80" i="1"/>
  <c r="K80" i="1"/>
  <c r="A81" i="1"/>
  <c r="B81" i="1"/>
  <c r="C81" i="1"/>
  <c r="D81" i="1"/>
  <c r="E81" i="1"/>
  <c r="F81" i="1"/>
  <c r="G81" i="1"/>
  <c r="H81" i="1"/>
  <c r="I81" i="1"/>
  <c r="J81" i="1"/>
  <c r="K81" i="1"/>
  <c r="A82" i="1"/>
  <c r="B82" i="1"/>
  <c r="C82" i="1"/>
  <c r="D82" i="1"/>
  <c r="E82" i="1"/>
  <c r="F82" i="1"/>
  <c r="G82" i="1"/>
  <c r="H82" i="1"/>
  <c r="I82" i="1"/>
  <c r="J82" i="1"/>
  <c r="K82" i="1"/>
  <c r="A83" i="1"/>
  <c r="B83" i="1"/>
  <c r="C83" i="1"/>
  <c r="D83" i="1"/>
  <c r="E83" i="1"/>
  <c r="F83" i="1"/>
  <c r="G83" i="1"/>
  <c r="H83" i="1"/>
  <c r="I83" i="1"/>
  <c r="J83" i="1"/>
  <c r="K83" i="1"/>
  <c r="A84" i="1"/>
  <c r="B84" i="1"/>
  <c r="C84" i="1"/>
  <c r="D84" i="1"/>
  <c r="E84" i="1"/>
  <c r="F84" i="1"/>
  <c r="G84" i="1"/>
  <c r="H84" i="1"/>
  <c r="I84" i="1"/>
  <c r="J84" i="1"/>
  <c r="K84" i="1"/>
  <c r="A85" i="1"/>
  <c r="B85" i="1"/>
  <c r="C85" i="1"/>
  <c r="D85" i="1"/>
  <c r="E85" i="1"/>
  <c r="F85" i="1"/>
  <c r="G85" i="1"/>
  <c r="H85" i="1"/>
  <c r="I85" i="1"/>
  <c r="J85" i="1"/>
  <c r="K85" i="1"/>
  <c r="A86" i="1"/>
  <c r="B86" i="1"/>
  <c r="C86" i="1"/>
  <c r="D86" i="1"/>
  <c r="E86" i="1"/>
  <c r="F86" i="1"/>
  <c r="G86" i="1"/>
  <c r="H86" i="1"/>
  <c r="I86" i="1"/>
  <c r="J86" i="1"/>
  <c r="K86" i="1"/>
  <c r="A87" i="1"/>
  <c r="B87" i="1"/>
  <c r="C87" i="1"/>
  <c r="D87" i="1"/>
  <c r="E87" i="1"/>
  <c r="F87" i="1"/>
  <c r="G87" i="1"/>
  <c r="H87" i="1"/>
  <c r="I87" i="1"/>
  <c r="J87" i="1"/>
  <c r="K87" i="1"/>
  <c r="A88" i="1"/>
  <c r="B88" i="1"/>
  <c r="C88" i="1"/>
  <c r="D88" i="1"/>
  <c r="E88" i="1"/>
  <c r="F88" i="1"/>
  <c r="G88" i="1"/>
  <c r="H88" i="1"/>
  <c r="I88" i="1"/>
  <c r="J88" i="1"/>
  <c r="K88" i="1"/>
  <c r="A89" i="1"/>
  <c r="B89" i="1"/>
  <c r="C89" i="1"/>
  <c r="D89" i="1"/>
  <c r="E89" i="1"/>
  <c r="F89" i="1"/>
  <c r="G89" i="1"/>
  <c r="H89" i="1"/>
  <c r="I89" i="1"/>
  <c r="J89" i="1"/>
  <c r="K89" i="1"/>
  <c r="A90" i="1"/>
  <c r="B90" i="1"/>
  <c r="C90" i="1"/>
  <c r="D90" i="1"/>
  <c r="E90" i="1"/>
  <c r="F90" i="1"/>
  <c r="G90" i="1"/>
  <c r="H90" i="1"/>
  <c r="I90" i="1"/>
  <c r="J90" i="1"/>
  <c r="K90" i="1"/>
  <c r="A91" i="1"/>
  <c r="B91" i="1"/>
  <c r="C91" i="1"/>
  <c r="D91" i="1"/>
  <c r="E91" i="1"/>
  <c r="F91" i="1"/>
  <c r="G91" i="1"/>
  <c r="H91" i="1"/>
  <c r="I91" i="1"/>
  <c r="J91" i="1"/>
  <c r="K91" i="1"/>
  <c r="A92" i="1"/>
  <c r="B92" i="1"/>
  <c r="C92" i="1"/>
  <c r="D92" i="1"/>
  <c r="E92" i="1"/>
  <c r="F92" i="1"/>
  <c r="G92" i="1"/>
  <c r="H92" i="1"/>
  <c r="I92" i="1"/>
  <c r="J92" i="1"/>
  <c r="K92" i="1"/>
  <c r="A93" i="1"/>
  <c r="B93" i="1"/>
  <c r="C93" i="1"/>
  <c r="D93" i="1"/>
  <c r="E93" i="1"/>
  <c r="F93" i="1"/>
  <c r="G93" i="1"/>
  <c r="H93" i="1"/>
  <c r="I93" i="1"/>
  <c r="J93" i="1"/>
  <c r="K93" i="1"/>
  <c r="A94" i="1"/>
  <c r="B94" i="1"/>
  <c r="C94" i="1"/>
  <c r="D94" i="1"/>
  <c r="E94" i="1"/>
  <c r="F94" i="1"/>
  <c r="G94" i="1"/>
  <c r="H94" i="1"/>
  <c r="I94" i="1"/>
  <c r="J94" i="1"/>
  <c r="K94" i="1"/>
  <c r="A95" i="1"/>
  <c r="B95" i="1"/>
  <c r="C95" i="1"/>
  <c r="D95" i="1"/>
  <c r="E95" i="1"/>
  <c r="F95" i="1"/>
  <c r="G95" i="1"/>
  <c r="H95" i="1"/>
  <c r="I95" i="1"/>
  <c r="J95" i="1"/>
  <c r="K95" i="1"/>
  <c r="A96" i="1"/>
  <c r="B96" i="1"/>
  <c r="C96" i="1"/>
  <c r="D96" i="1"/>
  <c r="E96" i="1"/>
  <c r="F96" i="1"/>
  <c r="G96" i="1"/>
  <c r="H96" i="1"/>
  <c r="I96" i="1"/>
  <c r="J96" i="1"/>
  <c r="K96" i="1"/>
  <c r="A97" i="1"/>
  <c r="B97" i="1"/>
  <c r="C97" i="1"/>
  <c r="D97" i="1"/>
  <c r="E97" i="1"/>
  <c r="F97" i="1"/>
  <c r="G97" i="1"/>
  <c r="H97" i="1"/>
  <c r="I97" i="1"/>
  <c r="J97" i="1"/>
  <c r="K97" i="1"/>
  <c r="A98" i="1"/>
  <c r="B98" i="1"/>
  <c r="C98" i="1"/>
  <c r="D98" i="1"/>
  <c r="E98" i="1"/>
  <c r="F98" i="1"/>
  <c r="G98" i="1"/>
  <c r="H98" i="1"/>
  <c r="I98" i="1"/>
  <c r="J98" i="1"/>
  <c r="K98" i="1"/>
  <c r="A99" i="1"/>
  <c r="B99" i="1"/>
  <c r="C99" i="1"/>
  <c r="D99" i="1"/>
  <c r="E99" i="1"/>
  <c r="F99" i="1"/>
  <c r="G99" i="1"/>
  <c r="H99" i="1"/>
  <c r="I99" i="1"/>
  <c r="J99" i="1"/>
  <c r="K99" i="1"/>
  <c r="A100" i="1"/>
  <c r="B100" i="1"/>
  <c r="C100" i="1"/>
  <c r="D100" i="1"/>
  <c r="E100" i="1"/>
  <c r="F100" i="1"/>
  <c r="G100" i="1"/>
  <c r="H100" i="1"/>
  <c r="I100" i="1"/>
  <c r="J100" i="1"/>
  <c r="K100" i="1"/>
  <c r="A101" i="1"/>
  <c r="B101" i="1"/>
  <c r="C101" i="1"/>
  <c r="D101" i="1"/>
  <c r="E101" i="1"/>
  <c r="F101" i="1"/>
  <c r="G101" i="1"/>
  <c r="H101" i="1"/>
  <c r="I101" i="1"/>
  <c r="J101" i="1"/>
  <c r="K101" i="1"/>
  <c r="A102" i="1"/>
  <c r="B102" i="1"/>
  <c r="C102" i="1"/>
  <c r="D102" i="1"/>
  <c r="E102" i="1"/>
  <c r="F102" i="1"/>
  <c r="G102" i="1"/>
  <c r="H102" i="1"/>
  <c r="I102" i="1"/>
  <c r="J102" i="1"/>
  <c r="K102" i="1"/>
  <c r="A103" i="1"/>
  <c r="B103" i="1"/>
  <c r="C103" i="1"/>
  <c r="D103" i="1"/>
  <c r="E103" i="1"/>
  <c r="F103" i="1"/>
  <c r="G103" i="1"/>
  <c r="H103" i="1"/>
  <c r="I103" i="1"/>
  <c r="J103" i="1"/>
  <c r="K103" i="1"/>
  <c r="A104" i="1"/>
  <c r="B104" i="1"/>
  <c r="C104" i="1"/>
  <c r="D104" i="1"/>
  <c r="E104" i="1"/>
  <c r="F104" i="1"/>
  <c r="G104" i="1"/>
  <c r="H104" i="1"/>
  <c r="I104" i="1"/>
  <c r="J104" i="1"/>
  <c r="K104" i="1"/>
  <c r="A105" i="1"/>
  <c r="B105" i="1"/>
  <c r="C105" i="1"/>
  <c r="D105" i="1"/>
  <c r="E105" i="1"/>
  <c r="F105" i="1"/>
  <c r="G105" i="1"/>
  <c r="H105" i="1"/>
  <c r="I105" i="1"/>
  <c r="J105" i="1"/>
  <c r="K105" i="1"/>
  <c r="A106" i="1"/>
  <c r="B106" i="1"/>
  <c r="C106" i="1"/>
  <c r="D106" i="1"/>
  <c r="E106" i="1"/>
  <c r="F106" i="1"/>
  <c r="G106" i="1"/>
  <c r="H106" i="1"/>
  <c r="I106" i="1"/>
  <c r="J106" i="1"/>
  <c r="K106" i="1"/>
  <c r="A107" i="1"/>
  <c r="B107" i="1"/>
  <c r="C107" i="1"/>
  <c r="D107" i="1"/>
  <c r="E107" i="1"/>
  <c r="F107" i="1"/>
  <c r="G107" i="1"/>
  <c r="H107" i="1"/>
  <c r="I107" i="1"/>
  <c r="J107" i="1"/>
  <c r="K107" i="1"/>
  <c r="A108" i="1"/>
  <c r="B108" i="1"/>
  <c r="C108" i="1"/>
  <c r="D108" i="1"/>
  <c r="E108" i="1"/>
  <c r="F108" i="1"/>
  <c r="G108" i="1"/>
  <c r="H108" i="1"/>
  <c r="I108" i="1"/>
  <c r="J108" i="1"/>
  <c r="K108" i="1"/>
  <c r="A109" i="1"/>
  <c r="B109" i="1"/>
  <c r="C109" i="1"/>
  <c r="D109" i="1"/>
  <c r="E109" i="1"/>
  <c r="F109" i="1"/>
  <c r="G109" i="1"/>
  <c r="H109" i="1"/>
  <c r="I109" i="1"/>
  <c r="J109" i="1"/>
  <c r="K109" i="1"/>
  <c r="A110" i="1"/>
  <c r="B110" i="1"/>
  <c r="C110" i="1"/>
  <c r="D110" i="1"/>
  <c r="E110" i="1"/>
  <c r="F110" i="1"/>
  <c r="G110" i="1"/>
  <c r="H110" i="1"/>
  <c r="I110" i="1"/>
  <c r="J110" i="1"/>
  <c r="K110" i="1"/>
  <c r="A111" i="1"/>
  <c r="B111" i="1"/>
  <c r="C111" i="1"/>
  <c r="D111" i="1"/>
  <c r="E111" i="1"/>
  <c r="F111" i="1"/>
  <c r="G111" i="1"/>
  <c r="H111" i="1"/>
  <c r="I111" i="1"/>
  <c r="J111" i="1"/>
  <c r="K111" i="1"/>
  <c r="A112" i="1"/>
  <c r="B112" i="1"/>
  <c r="C112" i="1"/>
  <c r="D112" i="1"/>
  <c r="E112" i="1"/>
  <c r="F112" i="1"/>
  <c r="G112" i="1"/>
  <c r="H112" i="1"/>
  <c r="I112" i="1"/>
  <c r="J112" i="1"/>
  <c r="K112" i="1"/>
  <c r="A113" i="1"/>
  <c r="B113" i="1"/>
  <c r="C113" i="1"/>
  <c r="D113" i="1"/>
  <c r="E113" i="1"/>
  <c r="F113" i="1"/>
  <c r="G113" i="1"/>
  <c r="H113" i="1"/>
  <c r="I113" i="1"/>
  <c r="J113" i="1"/>
  <c r="K113" i="1"/>
  <c r="A114" i="1"/>
  <c r="B114" i="1"/>
  <c r="C114" i="1"/>
  <c r="D114" i="1"/>
  <c r="E114" i="1"/>
  <c r="F114" i="1"/>
  <c r="G114" i="1"/>
  <c r="H114" i="1"/>
  <c r="I114" i="1"/>
  <c r="J114" i="1"/>
  <c r="K114" i="1"/>
  <c r="A115" i="1"/>
  <c r="B115" i="1"/>
  <c r="C115" i="1"/>
  <c r="D115" i="1"/>
  <c r="E115" i="1"/>
  <c r="F115" i="1"/>
  <c r="G115" i="1"/>
  <c r="H115" i="1"/>
  <c r="I115" i="1"/>
  <c r="J115" i="1"/>
  <c r="K115" i="1"/>
  <c r="A116" i="1"/>
  <c r="B116" i="1"/>
  <c r="C116" i="1"/>
  <c r="D116" i="1"/>
  <c r="E116" i="1"/>
  <c r="F116" i="1"/>
  <c r="G116" i="1"/>
  <c r="H116" i="1"/>
  <c r="I116" i="1"/>
  <c r="J116" i="1"/>
  <c r="K116" i="1"/>
  <c r="A117" i="1"/>
  <c r="B117" i="1"/>
  <c r="C117" i="1"/>
  <c r="D117" i="1"/>
  <c r="E117" i="1"/>
  <c r="F117" i="1"/>
  <c r="G117" i="1"/>
  <c r="H117" i="1"/>
  <c r="I117" i="1"/>
  <c r="J117" i="1"/>
  <c r="K117" i="1"/>
  <c r="A118" i="1"/>
  <c r="B118" i="1"/>
  <c r="C118" i="1"/>
  <c r="D118" i="1"/>
  <c r="E118" i="1"/>
  <c r="F118" i="1"/>
  <c r="G118" i="1"/>
  <c r="H118" i="1"/>
  <c r="I118" i="1"/>
  <c r="J118" i="1"/>
  <c r="K118" i="1"/>
  <c r="A119" i="1"/>
  <c r="B119" i="1"/>
  <c r="C119" i="1"/>
  <c r="D119" i="1"/>
  <c r="E119" i="1"/>
  <c r="F119" i="1"/>
  <c r="G119" i="1"/>
  <c r="H119" i="1"/>
  <c r="I119" i="1"/>
  <c r="J119" i="1"/>
  <c r="K119" i="1"/>
  <c r="A120" i="1"/>
  <c r="B120" i="1"/>
  <c r="C120" i="1"/>
  <c r="D120" i="1"/>
  <c r="E120" i="1"/>
  <c r="F120" i="1"/>
  <c r="G120" i="1"/>
  <c r="H120" i="1"/>
  <c r="I120" i="1"/>
  <c r="J120" i="1"/>
  <c r="K120" i="1"/>
  <c r="A121" i="1"/>
  <c r="B121" i="1"/>
  <c r="C121" i="1"/>
  <c r="D121" i="1"/>
  <c r="E121" i="1"/>
  <c r="F121" i="1"/>
  <c r="G121" i="1"/>
  <c r="H121" i="1"/>
  <c r="I121" i="1"/>
  <c r="J121" i="1"/>
  <c r="K121" i="1"/>
  <c r="A122" i="1"/>
  <c r="B122" i="1"/>
  <c r="C122" i="1"/>
  <c r="D122" i="1"/>
  <c r="E122" i="1"/>
  <c r="F122" i="1"/>
  <c r="G122" i="1"/>
  <c r="H122" i="1"/>
  <c r="I122" i="1"/>
  <c r="J122" i="1"/>
  <c r="K122" i="1"/>
  <c r="A123" i="1"/>
  <c r="B123" i="1"/>
  <c r="C123" i="1"/>
  <c r="D123" i="1"/>
  <c r="E123" i="1"/>
  <c r="F123" i="1"/>
  <c r="G123" i="1"/>
  <c r="H123" i="1"/>
  <c r="I123" i="1"/>
  <c r="J123" i="1"/>
  <c r="K123" i="1"/>
  <c r="A124" i="1"/>
  <c r="B124" i="1"/>
  <c r="C124" i="1"/>
  <c r="D124" i="1"/>
  <c r="E124" i="1"/>
  <c r="F124" i="1"/>
  <c r="G124" i="1"/>
  <c r="H124" i="1"/>
  <c r="I124" i="1"/>
  <c r="J124" i="1"/>
  <c r="K124" i="1"/>
  <c r="A125" i="1"/>
  <c r="B125" i="1"/>
  <c r="C125" i="1"/>
  <c r="D125" i="1"/>
  <c r="E125" i="1"/>
  <c r="F125" i="1"/>
  <c r="G125" i="1"/>
  <c r="H125" i="1"/>
  <c r="I125" i="1"/>
  <c r="J125" i="1"/>
  <c r="K125" i="1"/>
  <c r="A126" i="1"/>
  <c r="B126" i="1"/>
  <c r="C126" i="1"/>
  <c r="D126" i="1"/>
  <c r="E126" i="1"/>
  <c r="F126" i="1"/>
  <c r="G126" i="1"/>
  <c r="H126" i="1"/>
  <c r="I126" i="1"/>
  <c r="J126" i="1"/>
  <c r="K126" i="1"/>
  <c r="A127" i="1"/>
  <c r="B127" i="1"/>
  <c r="C127" i="1"/>
  <c r="D127" i="1"/>
  <c r="E127" i="1"/>
  <c r="F127" i="1"/>
  <c r="G127" i="1"/>
  <c r="H127" i="1"/>
  <c r="I127" i="1"/>
  <c r="J127" i="1"/>
  <c r="K127" i="1"/>
  <c r="A128" i="1"/>
  <c r="B128" i="1"/>
  <c r="C128" i="1"/>
  <c r="D128" i="1"/>
  <c r="E128" i="1"/>
  <c r="F128" i="1"/>
  <c r="G128" i="1"/>
  <c r="H128" i="1"/>
  <c r="I128" i="1"/>
  <c r="J128" i="1"/>
  <c r="K128" i="1"/>
  <c r="A129" i="1"/>
  <c r="B129" i="1"/>
  <c r="C129" i="1"/>
  <c r="D129" i="1"/>
  <c r="E129" i="1"/>
  <c r="F129" i="1"/>
  <c r="G129" i="1"/>
  <c r="H129" i="1"/>
  <c r="I129" i="1"/>
  <c r="J129" i="1"/>
  <c r="K129" i="1"/>
  <c r="A130" i="1"/>
  <c r="B130" i="1"/>
  <c r="C130" i="1"/>
  <c r="D130" i="1"/>
  <c r="E130" i="1"/>
  <c r="F130" i="1"/>
  <c r="G130" i="1"/>
  <c r="H130" i="1"/>
  <c r="I130" i="1"/>
  <c r="J130" i="1"/>
  <c r="K130" i="1"/>
  <c r="A131" i="1"/>
  <c r="B131" i="1"/>
  <c r="C131" i="1"/>
  <c r="D131" i="1"/>
  <c r="E131" i="1"/>
  <c r="F131" i="1"/>
  <c r="G131" i="1"/>
  <c r="H131" i="1"/>
  <c r="I131" i="1"/>
  <c r="J131" i="1"/>
  <c r="K131" i="1"/>
  <c r="A132" i="1"/>
  <c r="B132" i="1"/>
  <c r="C132" i="1"/>
  <c r="D132" i="1"/>
  <c r="E132" i="1"/>
  <c r="F132" i="1"/>
  <c r="G132" i="1"/>
  <c r="H132" i="1"/>
  <c r="I132" i="1"/>
  <c r="J132" i="1"/>
  <c r="K132" i="1"/>
  <c r="A133" i="1"/>
  <c r="B133" i="1"/>
  <c r="C133" i="1"/>
  <c r="D133" i="1"/>
  <c r="E133" i="1"/>
  <c r="F133" i="1"/>
  <c r="G133" i="1"/>
  <c r="H133" i="1"/>
  <c r="I133" i="1"/>
  <c r="J133" i="1"/>
  <c r="K133" i="1"/>
  <c r="A134" i="1"/>
  <c r="B134" i="1"/>
  <c r="C134" i="1"/>
  <c r="D134" i="1"/>
  <c r="E134" i="1"/>
  <c r="F134" i="1"/>
  <c r="G134" i="1"/>
  <c r="H134" i="1"/>
  <c r="I134" i="1"/>
  <c r="J134" i="1"/>
  <c r="K134" i="1"/>
  <c r="A135" i="1"/>
  <c r="B135" i="1"/>
  <c r="C135" i="1"/>
  <c r="D135" i="1"/>
  <c r="E135" i="1"/>
  <c r="F135" i="1"/>
  <c r="G135" i="1"/>
  <c r="H135" i="1"/>
  <c r="I135" i="1"/>
  <c r="J135" i="1"/>
  <c r="K135" i="1"/>
  <c r="A136" i="1"/>
  <c r="B136" i="1"/>
  <c r="C136" i="1"/>
  <c r="D136" i="1"/>
  <c r="E136" i="1"/>
  <c r="F136" i="1"/>
  <c r="G136" i="1"/>
  <c r="H136" i="1"/>
  <c r="I136" i="1"/>
  <c r="J136" i="1"/>
  <c r="K136" i="1"/>
  <c r="A137" i="1"/>
  <c r="B137" i="1"/>
  <c r="C137" i="1"/>
  <c r="D137" i="1"/>
  <c r="E137" i="1"/>
  <c r="F137" i="1"/>
  <c r="G137" i="1"/>
  <c r="H137" i="1"/>
  <c r="I137" i="1"/>
  <c r="J137" i="1"/>
  <c r="K137" i="1"/>
  <c r="A138" i="1"/>
  <c r="B138" i="1"/>
  <c r="C138" i="1"/>
  <c r="D138" i="1"/>
  <c r="E138" i="1"/>
  <c r="F138" i="1"/>
  <c r="G138" i="1"/>
  <c r="H138" i="1"/>
  <c r="I138" i="1"/>
  <c r="J138" i="1"/>
  <c r="K138" i="1"/>
  <c r="A139" i="1"/>
  <c r="B139" i="1"/>
  <c r="C139" i="1"/>
  <c r="D139" i="1"/>
  <c r="E139" i="1"/>
  <c r="F139" i="1"/>
  <c r="G139" i="1"/>
  <c r="H139" i="1"/>
  <c r="I139" i="1"/>
  <c r="J139" i="1"/>
  <c r="K139" i="1"/>
  <c r="A140" i="1"/>
  <c r="B140" i="1"/>
  <c r="C140" i="1"/>
  <c r="D140" i="1"/>
  <c r="E140" i="1"/>
  <c r="F140" i="1"/>
  <c r="G140" i="1"/>
  <c r="H140" i="1"/>
  <c r="I140" i="1"/>
  <c r="J140" i="1"/>
  <c r="K140" i="1"/>
  <c r="A141" i="1"/>
  <c r="B141" i="1"/>
  <c r="C141" i="1"/>
  <c r="D141" i="1"/>
  <c r="E141" i="1"/>
  <c r="F141" i="1"/>
  <c r="G141" i="1"/>
  <c r="H141" i="1"/>
  <c r="I141" i="1"/>
  <c r="J141" i="1"/>
  <c r="K141" i="1"/>
  <c r="A142" i="1"/>
  <c r="B142" i="1"/>
  <c r="C142" i="1"/>
  <c r="D142" i="1"/>
  <c r="E142" i="1"/>
  <c r="F142" i="1"/>
  <c r="G142" i="1"/>
  <c r="H142" i="1"/>
  <c r="I142" i="1"/>
  <c r="J142" i="1"/>
  <c r="K142" i="1"/>
  <c r="A143" i="1"/>
  <c r="B143" i="1"/>
  <c r="C143" i="1"/>
  <c r="D143" i="1"/>
  <c r="E143" i="1"/>
  <c r="F143" i="1"/>
  <c r="G143" i="1"/>
  <c r="H143" i="1"/>
  <c r="I143" i="1"/>
  <c r="J143" i="1"/>
  <c r="K143" i="1"/>
  <c r="A144" i="1"/>
  <c r="B144" i="1"/>
  <c r="C144" i="1"/>
  <c r="D144" i="1"/>
  <c r="E144" i="1"/>
  <c r="F144" i="1"/>
  <c r="G144" i="1"/>
  <c r="H144" i="1"/>
  <c r="I144" i="1"/>
  <c r="J144" i="1"/>
  <c r="K144" i="1"/>
  <c r="A145" i="1"/>
  <c r="B145" i="1"/>
  <c r="C145" i="1"/>
  <c r="D145" i="1"/>
  <c r="E145" i="1"/>
  <c r="F145" i="1"/>
  <c r="G145" i="1"/>
  <c r="H145" i="1"/>
  <c r="I145" i="1"/>
  <c r="J145" i="1"/>
  <c r="K145" i="1"/>
  <c r="A146" i="1"/>
  <c r="B146" i="1"/>
  <c r="C146" i="1"/>
  <c r="D146" i="1"/>
  <c r="E146" i="1"/>
  <c r="F146" i="1"/>
  <c r="G146" i="1"/>
  <c r="H146" i="1"/>
  <c r="I146" i="1"/>
  <c r="J146" i="1"/>
  <c r="K146" i="1"/>
  <c r="A147" i="1"/>
  <c r="B147" i="1"/>
  <c r="C147" i="1"/>
  <c r="D147" i="1"/>
  <c r="E147" i="1"/>
  <c r="F147" i="1"/>
  <c r="G147" i="1"/>
  <c r="H147" i="1"/>
  <c r="I147" i="1"/>
  <c r="J147" i="1"/>
  <c r="K147" i="1"/>
  <c r="A148" i="1"/>
  <c r="B148" i="1"/>
  <c r="C148" i="1"/>
  <c r="D148" i="1"/>
  <c r="E148" i="1"/>
  <c r="F148" i="1"/>
  <c r="G148" i="1"/>
  <c r="H148" i="1"/>
  <c r="I148" i="1"/>
  <c r="J148" i="1"/>
  <c r="K148" i="1"/>
  <c r="A149" i="1"/>
  <c r="B149" i="1"/>
  <c r="C149" i="1"/>
  <c r="D149" i="1"/>
  <c r="E149" i="1"/>
  <c r="F149" i="1"/>
  <c r="G149" i="1"/>
  <c r="H149" i="1"/>
  <c r="I149" i="1"/>
  <c r="J149" i="1"/>
  <c r="K149" i="1"/>
  <c r="A150" i="1"/>
  <c r="B150" i="1"/>
  <c r="C150" i="1"/>
  <c r="D150" i="1"/>
  <c r="E150" i="1"/>
  <c r="F150" i="1"/>
  <c r="G150" i="1"/>
  <c r="H150" i="1"/>
  <c r="I150" i="1"/>
  <c r="J150" i="1"/>
  <c r="K150" i="1"/>
  <c r="A151" i="1"/>
  <c r="B151" i="1"/>
  <c r="C151" i="1"/>
  <c r="D151" i="1"/>
  <c r="E151" i="1"/>
  <c r="F151" i="1"/>
  <c r="G151" i="1"/>
  <c r="H151" i="1"/>
  <c r="I151" i="1"/>
  <c r="J151" i="1"/>
  <c r="K151" i="1"/>
  <c r="A152" i="1"/>
  <c r="B152" i="1"/>
  <c r="C152" i="1"/>
  <c r="D152" i="1"/>
  <c r="E152" i="1"/>
  <c r="F152" i="1"/>
  <c r="G152" i="1"/>
  <c r="H152" i="1"/>
  <c r="I152" i="1"/>
  <c r="J152" i="1"/>
  <c r="K152" i="1"/>
  <c r="A153" i="1"/>
  <c r="B153" i="1"/>
  <c r="C153" i="1"/>
  <c r="D153" i="1"/>
  <c r="E153" i="1"/>
  <c r="F153" i="1"/>
  <c r="G153" i="1"/>
  <c r="H153" i="1"/>
  <c r="I153" i="1"/>
  <c r="J153" i="1"/>
  <c r="K153" i="1"/>
  <c r="A154" i="1"/>
  <c r="B154" i="1"/>
  <c r="C154" i="1"/>
  <c r="D154" i="1"/>
  <c r="E154" i="1"/>
  <c r="F154" i="1"/>
  <c r="G154" i="1"/>
  <c r="H154" i="1"/>
  <c r="I154" i="1"/>
  <c r="J154" i="1"/>
  <c r="K154" i="1"/>
  <c r="A155" i="1"/>
  <c r="B155" i="1"/>
  <c r="C155" i="1"/>
  <c r="D155" i="1"/>
  <c r="E155" i="1"/>
  <c r="F155" i="1"/>
  <c r="G155" i="1"/>
  <c r="H155" i="1"/>
  <c r="I155" i="1"/>
  <c r="J155" i="1"/>
  <c r="K155" i="1"/>
  <c r="A156" i="1"/>
  <c r="B156" i="1"/>
  <c r="C156" i="1"/>
  <c r="D156" i="1"/>
  <c r="E156" i="1"/>
  <c r="F156" i="1"/>
  <c r="G156" i="1"/>
  <c r="H156" i="1"/>
  <c r="I156" i="1"/>
  <c r="J156" i="1"/>
  <c r="K156" i="1"/>
  <c r="A157" i="1"/>
  <c r="B157" i="1"/>
  <c r="C157" i="1"/>
  <c r="D157" i="1"/>
  <c r="E157" i="1"/>
  <c r="F157" i="1"/>
  <c r="G157" i="1"/>
  <c r="H157" i="1"/>
  <c r="I157" i="1"/>
  <c r="J157" i="1"/>
  <c r="K157" i="1"/>
  <c r="A158" i="1"/>
  <c r="B158" i="1"/>
  <c r="C158" i="1"/>
  <c r="D158" i="1"/>
  <c r="E158" i="1"/>
  <c r="F158" i="1"/>
  <c r="G158" i="1"/>
  <c r="H158" i="1"/>
  <c r="I158" i="1"/>
  <c r="J158" i="1"/>
  <c r="K158" i="1"/>
  <c r="A159" i="1"/>
  <c r="B159" i="1"/>
  <c r="C159" i="1"/>
  <c r="D159" i="1"/>
  <c r="E159" i="1"/>
  <c r="F159" i="1"/>
  <c r="G159" i="1"/>
  <c r="H159" i="1"/>
  <c r="I159" i="1"/>
  <c r="J159" i="1"/>
  <c r="K159" i="1"/>
  <c r="A160" i="1"/>
  <c r="B160" i="1"/>
  <c r="C160" i="1"/>
  <c r="D160" i="1"/>
  <c r="E160" i="1"/>
  <c r="F160" i="1"/>
  <c r="G160" i="1"/>
  <c r="H160" i="1"/>
  <c r="I160" i="1"/>
  <c r="J160" i="1"/>
  <c r="K160" i="1"/>
  <c r="A161" i="1"/>
  <c r="B161" i="1"/>
  <c r="C161" i="1"/>
  <c r="D161" i="1"/>
  <c r="E161" i="1"/>
  <c r="F161" i="1"/>
  <c r="G161" i="1"/>
  <c r="H161" i="1"/>
  <c r="I161" i="1"/>
  <c r="J161" i="1"/>
  <c r="K161" i="1"/>
  <c r="A162" i="1"/>
  <c r="B162" i="1"/>
  <c r="C162" i="1"/>
  <c r="D162" i="1"/>
  <c r="E162" i="1"/>
  <c r="F162" i="1"/>
  <c r="G162" i="1"/>
  <c r="H162" i="1"/>
  <c r="I162" i="1"/>
  <c r="J162" i="1"/>
  <c r="K162" i="1"/>
  <c r="A163" i="1"/>
  <c r="B163" i="1"/>
  <c r="C163" i="1"/>
  <c r="D163" i="1"/>
  <c r="E163" i="1"/>
  <c r="F163" i="1"/>
  <c r="G163" i="1"/>
  <c r="H163" i="1"/>
  <c r="I163" i="1"/>
  <c r="J163" i="1"/>
  <c r="K163" i="1"/>
  <c r="A164" i="1"/>
  <c r="B164" i="1"/>
  <c r="C164" i="1"/>
  <c r="D164" i="1"/>
  <c r="E164" i="1"/>
  <c r="F164" i="1"/>
  <c r="G164" i="1"/>
  <c r="H164" i="1"/>
  <c r="I164" i="1"/>
  <c r="J164" i="1"/>
  <c r="K164" i="1"/>
  <c r="A165" i="1"/>
  <c r="B165" i="1"/>
  <c r="C165" i="1"/>
  <c r="D165" i="1"/>
  <c r="E165" i="1"/>
  <c r="F165" i="1"/>
  <c r="G165" i="1"/>
  <c r="H165" i="1"/>
  <c r="I165" i="1"/>
  <c r="J165" i="1"/>
  <c r="K165" i="1"/>
  <c r="A166" i="1"/>
  <c r="B166" i="1"/>
  <c r="C166" i="1"/>
  <c r="D166" i="1"/>
  <c r="E166" i="1"/>
  <c r="F166" i="1"/>
  <c r="G166" i="1"/>
  <c r="H166" i="1"/>
  <c r="I166" i="1"/>
  <c r="J166" i="1"/>
  <c r="K166" i="1"/>
  <c r="A167" i="1"/>
  <c r="B167" i="1"/>
  <c r="C167" i="1"/>
  <c r="D167" i="1"/>
  <c r="E167" i="1"/>
  <c r="F167" i="1"/>
  <c r="G167" i="1"/>
  <c r="H167" i="1"/>
  <c r="I167" i="1"/>
  <c r="J167" i="1"/>
  <c r="K167" i="1"/>
  <c r="A168" i="1"/>
  <c r="B168" i="1"/>
  <c r="C168" i="1"/>
  <c r="D168" i="1"/>
  <c r="E168" i="1"/>
  <c r="F168" i="1"/>
  <c r="G168" i="1"/>
  <c r="H168" i="1"/>
  <c r="I168" i="1"/>
  <c r="J168" i="1"/>
  <c r="K168" i="1"/>
  <c r="A169" i="1"/>
  <c r="B169" i="1"/>
  <c r="C169" i="1"/>
  <c r="D169" i="1"/>
  <c r="E169" i="1"/>
  <c r="F169" i="1"/>
  <c r="G169" i="1"/>
  <c r="H169" i="1"/>
  <c r="I169" i="1"/>
  <c r="J169" i="1"/>
  <c r="K169" i="1"/>
  <c r="A170" i="1"/>
  <c r="B170" i="1"/>
  <c r="C170" i="1"/>
  <c r="D170" i="1"/>
  <c r="E170" i="1"/>
  <c r="F170" i="1"/>
  <c r="G170" i="1"/>
  <c r="H170" i="1"/>
  <c r="I170" i="1"/>
  <c r="J170" i="1"/>
  <c r="K170" i="1"/>
  <c r="A171" i="1"/>
  <c r="B171" i="1"/>
  <c r="C171" i="1"/>
  <c r="D171" i="1"/>
  <c r="E171" i="1"/>
  <c r="F171" i="1"/>
  <c r="G171" i="1"/>
  <c r="H171" i="1"/>
  <c r="I171" i="1"/>
  <c r="J171" i="1"/>
  <c r="K171" i="1"/>
  <c r="A172" i="1"/>
  <c r="B172" i="1"/>
  <c r="C172" i="1"/>
  <c r="D172" i="1"/>
  <c r="E172" i="1"/>
  <c r="F172" i="1"/>
  <c r="G172" i="1"/>
  <c r="H172" i="1"/>
  <c r="I172" i="1"/>
  <c r="J172" i="1"/>
  <c r="K172" i="1"/>
  <c r="A173" i="1"/>
  <c r="B173" i="1"/>
  <c r="C173" i="1"/>
  <c r="D173" i="1"/>
  <c r="E173" i="1"/>
  <c r="F173" i="1"/>
  <c r="G173" i="1"/>
  <c r="H173" i="1"/>
  <c r="I173" i="1"/>
  <c r="J173" i="1"/>
  <c r="K173" i="1"/>
  <c r="A174" i="1"/>
  <c r="B174" i="1"/>
  <c r="C174" i="1"/>
  <c r="D174" i="1"/>
  <c r="E174" i="1"/>
  <c r="F174" i="1"/>
  <c r="G174" i="1"/>
  <c r="H174" i="1"/>
  <c r="I174" i="1"/>
  <c r="J174" i="1"/>
  <c r="K174" i="1"/>
  <c r="A175" i="1"/>
  <c r="B175" i="1"/>
  <c r="C175" i="1"/>
  <c r="D175" i="1"/>
  <c r="E175" i="1"/>
  <c r="F175" i="1"/>
  <c r="G175" i="1"/>
  <c r="H175" i="1"/>
  <c r="I175" i="1"/>
  <c r="J175" i="1"/>
  <c r="K175" i="1"/>
  <c r="A176" i="1"/>
  <c r="B176" i="1"/>
  <c r="C176" i="1"/>
  <c r="D176" i="1"/>
  <c r="E176" i="1"/>
  <c r="F176" i="1"/>
  <c r="G176" i="1"/>
  <c r="H176" i="1"/>
  <c r="I176" i="1"/>
  <c r="J176" i="1"/>
  <c r="K176" i="1"/>
  <c r="A177" i="1"/>
  <c r="B177" i="1"/>
  <c r="C177" i="1"/>
  <c r="D177" i="1"/>
  <c r="E177" i="1"/>
  <c r="F177" i="1"/>
  <c r="G177" i="1"/>
  <c r="H177" i="1"/>
  <c r="I177" i="1"/>
  <c r="J177" i="1"/>
  <c r="K177" i="1"/>
  <c r="A178" i="1"/>
  <c r="B178" i="1"/>
  <c r="C178" i="1"/>
  <c r="D178" i="1"/>
  <c r="E178" i="1"/>
  <c r="F178" i="1"/>
  <c r="G178" i="1"/>
  <c r="H178" i="1"/>
  <c r="I178" i="1"/>
  <c r="J178" i="1"/>
  <c r="K178" i="1"/>
  <c r="A179" i="1"/>
  <c r="B179" i="1"/>
  <c r="C179" i="1"/>
  <c r="D179" i="1"/>
  <c r="E179" i="1"/>
  <c r="F179" i="1"/>
  <c r="G179" i="1"/>
  <c r="H179" i="1"/>
  <c r="I179" i="1"/>
  <c r="J179" i="1"/>
  <c r="K179" i="1"/>
  <c r="A180" i="1"/>
  <c r="B180" i="1"/>
  <c r="C180" i="1"/>
  <c r="D180" i="1"/>
  <c r="E180" i="1"/>
  <c r="F180" i="1"/>
  <c r="G180" i="1"/>
  <c r="H180" i="1"/>
  <c r="I180" i="1"/>
  <c r="J180" i="1"/>
  <c r="K180" i="1"/>
  <c r="A181" i="1"/>
  <c r="B181" i="1"/>
  <c r="C181" i="1"/>
  <c r="D181" i="1"/>
  <c r="E181" i="1"/>
  <c r="F181" i="1"/>
  <c r="G181" i="1"/>
  <c r="H181" i="1"/>
  <c r="I181" i="1"/>
  <c r="J181" i="1"/>
  <c r="K181" i="1"/>
  <c r="A182" i="1"/>
  <c r="B182" i="1"/>
  <c r="C182" i="1"/>
  <c r="D182" i="1"/>
  <c r="E182" i="1"/>
  <c r="F182" i="1"/>
  <c r="G182" i="1"/>
  <c r="H182" i="1"/>
  <c r="I182" i="1"/>
  <c r="J182" i="1"/>
  <c r="K182" i="1"/>
  <c r="A183" i="1"/>
  <c r="B183" i="1"/>
  <c r="C183" i="1"/>
  <c r="D183" i="1"/>
  <c r="E183" i="1"/>
  <c r="F183" i="1"/>
  <c r="G183" i="1"/>
  <c r="H183" i="1"/>
  <c r="I183" i="1"/>
  <c r="J183" i="1"/>
  <c r="K183" i="1"/>
  <c r="A184" i="1"/>
  <c r="B184" i="1"/>
  <c r="C184" i="1"/>
  <c r="D184" i="1"/>
  <c r="E184" i="1"/>
  <c r="F184" i="1"/>
  <c r="G184" i="1"/>
  <c r="H184" i="1"/>
  <c r="I184" i="1"/>
  <c r="J184" i="1"/>
  <c r="K184" i="1"/>
  <c r="A185" i="1"/>
  <c r="B185" i="1"/>
  <c r="C185" i="1"/>
  <c r="D185" i="1"/>
  <c r="E185" i="1"/>
  <c r="F185" i="1"/>
  <c r="G185" i="1"/>
  <c r="H185" i="1"/>
  <c r="I185" i="1"/>
  <c r="J185" i="1"/>
  <c r="K185" i="1"/>
  <c r="A186" i="1"/>
  <c r="B186" i="1"/>
  <c r="C186" i="1"/>
  <c r="D186" i="1"/>
  <c r="E186" i="1"/>
  <c r="F186" i="1"/>
  <c r="G186" i="1"/>
  <c r="H186" i="1"/>
  <c r="I186" i="1"/>
  <c r="J186" i="1"/>
  <c r="K186" i="1"/>
  <c r="A187" i="1"/>
  <c r="B187" i="1"/>
  <c r="C187" i="1"/>
  <c r="D187" i="1"/>
  <c r="E187" i="1"/>
  <c r="F187" i="1"/>
  <c r="G187" i="1"/>
  <c r="H187" i="1"/>
  <c r="I187" i="1"/>
  <c r="J187" i="1"/>
  <c r="K187" i="1"/>
  <c r="A188" i="1"/>
  <c r="B188" i="1"/>
  <c r="C188" i="1"/>
  <c r="D188" i="1"/>
  <c r="E188" i="1"/>
  <c r="F188" i="1"/>
  <c r="G188" i="1"/>
  <c r="H188" i="1"/>
  <c r="I188" i="1"/>
  <c r="J188" i="1"/>
  <c r="K188" i="1"/>
  <c r="A189" i="1"/>
  <c r="B189" i="1"/>
  <c r="C189" i="1"/>
  <c r="D189" i="1"/>
  <c r="E189" i="1"/>
  <c r="F189" i="1"/>
  <c r="G189" i="1"/>
  <c r="H189" i="1"/>
  <c r="I189" i="1"/>
  <c r="J189" i="1"/>
  <c r="K189" i="1"/>
  <c r="A190" i="1"/>
  <c r="B190" i="1"/>
  <c r="C190" i="1"/>
  <c r="D190" i="1"/>
  <c r="E190" i="1"/>
  <c r="F190" i="1"/>
  <c r="G190" i="1"/>
  <c r="H190" i="1"/>
  <c r="I190" i="1"/>
  <c r="J190" i="1"/>
  <c r="K190" i="1"/>
  <c r="A191" i="1"/>
  <c r="B191" i="1"/>
  <c r="C191" i="1"/>
  <c r="D191" i="1"/>
  <c r="E191" i="1"/>
  <c r="F191" i="1"/>
  <c r="G191" i="1"/>
  <c r="H191" i="1"/>
  <c r="I191" i="1"/>
  <c r="J191" i="1"/>
  <c r="K191" i="1"/>
  <c r="A192" i="1"/>
  <c r="B192" i="1"/>
  <c r="C192" i="1"/>
  <c r="D192" i="1"/>
  <c r="E192" i="1"/>
  <c r="F192" i="1"/>
  <c r="G192" i="1"/>
  <c r="H192" i="1"/>
  <c r="I192" i="1"/>
  <c r="J192" i="1"/>
  <c r="K192" i="1"/>
  <c r="A193" i="1"/>
  <c r="B193" i="1"/>
  <c r="C193" i="1"/>
  <c r="D193" i="1"/>
  <c r="E193" i="1"/>
  <c r="F193" i="1"/>
  <c r="G193" i="1"/>
  <c r="H193" i="1"/>
  <c r="I193" i="1"/>
  <c r="J193" i="1"/>
  <c r="K193" i="1"/>
  <c r="A194" i="1"/>
  <c r="B194" i="1"/>
  <c r="C194" i="1"/>
  <c r="D194" i="1"/>
  <c r="E194" i="1"/>
  <c r="F194" i="1"/>
  <c r="G194" i="1"/>
  <c r="H194" i="1"/>
  <c r="I194" i="1"/>
  <c r="J194" i="1"/>
  <c r="K194" i="1"/>
  <c r="A195" i="1"/>
  <c r="B195" i="1"/>
  <c r="C195" i="1"/>
  <c r="D195" i="1"/>
  <c r="E195" i="1"/>
  <c r="F195" i="1"/>
  <c r="G195" i="1"/>
  <c r="H195" i="1"/>
  <c r="I195" i="1"/>
  <c r="J195" i="1"/>
  <c r="K195" i="1"/>
  <c r="A196" i="1"/>
  <c r="B196" i="1"/>
  <c r="C196" i="1"/>
  <c r="D196" i="1"/>
  <c r="E196" i="1"/>
  <c r="F196" i="1"/>
  <c r="G196" i="1"/>
  <c r="H196" i="1"/>
  <c r="I196" i="1"/>
  <c r="J196" i="1"/>
  <c r="K196" i="1"/>
  <c r="A197" i="1"/>
  <c r="B197" i="1"/>
  <c r="C197" i="1"/>
  <c r="D197" i="1"/>
  <c r="E197" i="1"/>
  <c r="F197" i="1"/>
  <c r="G197" i="1"/>
  <c r="H197" i="1"/>
  <c r="I197" i="1"/>
  <c r="J197" i="1"/>
  <c r="K197" i="1"/>
  <c r="A198" i="1"/>
  <c r="B198" i="1"/>
  <c r="C198" i="1"/>
  <c r="D198" i="1"/>
  <c r="E198" i="1"/>
  <c r="F198" i="1"/>
  <c r="G198" i="1"/>
  <c r="H198" i="1"/>
  <c r="I198" i="1"/>
  <c r="J198" i="1"/>
  <c r="K198" i="1"/>
  <c r="A199" i="1"/>
  <c r="B199" i="1"/>
  <c r="C199" i="1"/>
  <c r="D199" i="1"/>
  <c r="E199" i="1"/>
  <c r="F199" i="1"/>
  <c r="G199" i="1"/>
  <c r="H199" i="1"/>
  <c r="I199" i="1"/>
  <c r="J199" i="1"/>
  <c r="K199" i="1"/>
  <c r="A200" i="1"/>
  <c r="B200" i="1"/>
  <c r="C200" i="1"/>
  <c r="D200" i="1"/>
  <c r="E200" i="1"/>
  <c r="F200" i="1"/>
  <c r="G200" i="1"/>
  <c r="H200" i="1"/>
  <c r="I200" i="1"/>
  <c r="J200" i="1"/>
  <c r="K200" i="1"/>
  <c r="A201" i="1"/>
  <c r="B201" i="1"/>
  <c r="C201" i="1"/>
  <c r="D201" i="1"/>
  <c r="E201" i="1"/>
  <c r="F201" i="1"/>
  <c r="G201" i="1"/>
  <c r="H201" i="1"/>
  <c r="I201" i="1"/>
  <c r="J201" i="1"/>
  <c r="K201" i="1"/>
  <c r="A202" i="1"/>
  <c r="B202" i="1"/>
  <c r="C202" i="1"/>
  <c r="D202" i="1"/>
  <c r="E202" i="1"/>
  <c r="F202" i="1"/>
  <c r="G202" i="1"/>
  <c r="H202" i="1"/>
  <c r="I202" i="1"/>
  <c r="J202" i="1"/>
  <c r="K202" i="1"/>
  <c r="A203" i="1"/>
  <c r="B203" i="1"/>
  <c r="C203" i="1"/>
  <c r="D203" i="1"/>
  <c r="E203" i="1"/>
  <c r="F203" i="1"/>
  <c r="G203" i="1"/>
  <c r="H203" i="1"/>
  <c r="I203" i="1"/>
  <c r="J203" i="1"/>
  <c r="K203" i="1"/>
  <c r="A204" i="1"/>
  <c r="B204" i="1"/>
  <c r="C204" i="1"/>
  <c r="D204" i="1"/>
  <c r="E204" i="1"/>
  <c r="F204" i="1"/>
  <c r="G204" i="1"/>
  <c r="H204" i="1"/>
  <c r="I204" i="1"/>
  <c r="J204" i="1"/>
  <c r="K204" i="1"/>
  <c r="A205" i="1"/>
  <c r="B205" i="1"/>
  <c r="C205" i="1"/>
  <c r="D205" i="1"/>
  <c r="E205" i="1"/>
  <c r="F205" i="1"/>
  <c r="G205" i="1"/>
  <c r="H205" i="1"/>
  <c r="I205" i="1"/>
  <c r="J205" i="1"/>
  <c r="K205" i="1"/>
  <c r="A206" i="1"/>
  <c r="B206" i="1"/>
  <c r="C206" i="1"/>
  <c r="D206" i="1"/>
  <c r="E206" i="1"/>
  <c r="F206" i="1"/>
  <c r="G206" i="1"/>
  <c r="H206" i="1"/>
  <c r="I206" i="1"/>
  <c r="J206" i="1"/>
  <c r="K206" i="1"/>
  <c r="A207" i="1"/>
  <c r="B207" i="1"/>
  <c r="C207" i="1"/>
  <c r="D207" i="1"/>
  <c r="E207" i="1"/>
  <c r="F207" i="1"/>
  <c r="G207" i="1"/>
  <c r="H207" i="1"/>
  <c r="I207" i="1"/>
  <c r="J207" i="1"/>
  <c r="K207" i="1"/>
  <c r="A208" i="1"/>
  <c r="B208" i="1"/>
  <c r="C208" i="1"/>
  <c r="D208" i="1"/>
  <c r="E208" i="1"/>
  <c r="F208" i="1"/>
  <c r="G208" i="1"/>
  <c r="H208" i="1"/>
  <c r="I208" i="1"/>
  <c r="J208" i="1"/>
  <c r="K208" i="1"/>
  <c r="A209" i="1"/>
  <c r="B209" i="1"/>
  <c r="C209" i="1"/>
  <c r="D209" i="1"/>
  <c r="E209" i="1"/>
  <c r="F209" i="1"/>
  <c r="G209" i="1"/>
  <c r="H209" i="1"/>
  <c r="I209" i="1"/>
  <c r="J209" i="1"/>
  <c r="K209" i="1"/>
  <c r="A210" i="1"/>
  <c r="B210" i="1"/>
  <c r="C210" i="1"/>
  <c r="D210" i="1"/>
  <c r="E210" i="1"/>
  <c r="F210" i="1"/>
  <c r="G210" i="1"/>
  <c r="H210" i="1"/>
  <c r="I210" i="1"/>
  <c r="J210" i="1"/>
  <c r="K210" i="1"/>
  <c r="A211" i="1"/>
  <c r="B211" i="1"/>
  <c r="C211" i="1"/>
  <c r="D211" i="1"/>
  <c r="E211" i="1"/>
  <c r="F211" i="1"/>
  <c r="G211" i="1"/>
  <c r="H211" i="1"/>
  <c r="I211" i="1"/>
  <c r="J211" i="1"/>
  <c r="K211" i="1"/>
  <c r="A212" i="1"/>
  <c r="B212" i="1"/>
  <c r="C212" i="1"/>
  <c r="D212" i="1"/>
  <c r="E212" i="1"/>
  <c r="F212" i="1"/>
  <c r="G212" i="1"/>
  <c r="H212" i="1"/>
  <c r="I212" i="1"/>
  <c r="J212" i="1"/>
  <c r="K212" i="1"/>
  <c r="A213" i="1"/>
  <c r="B213" i="1"/>
  <c r="C213" i="1"/>
  <c r="D213" i="1"/>
  <c r="E213" i="1"/>
  <c r="F213" i="1"/>
  <c r="G213" i="1"/>
  <c r="H213" i="1"/>
  <c r="I213" i="1"/>
  <c r="J213" i="1"/>
  <c r="K213" i="1"/>
  <c r="A214" i="1"/>
  <c r="B214" i="1"/>
  <c r="C214" i="1"/>
  <c r="D214" i="1"/>
  <c r="E214" i="1"/>
  <c r="F214" i="1"/>
  <c r="G214" i="1"/>
  <c r="H214" i="1"/>
  <c r="I214" i="1"/>
  <c r="J214" i="1"/>
  <c r="K214" i="1"/>
  <c r="A215" i="1"/>
  <c r="B215" i="1"/>
  <c r="C215" i="1"/>
  <c r="D215" i="1"/>
  <c r="E215" i="1"/>
  <c r="F215" i="1"/>
  <c r="G215" i="1"/>
  <c r="H215" i="1"/>
  <c r="I215" i="1"/>
  <c r="J215" i="1"/>
  <c r="K215" i="1"/>
  <c r="A216" i="1"/>
  <c r="B216" i="1"/>
  <c r="C216" i="1"/>
  <c r="D216" i="1"/>
  <c r="E216" i="1"/>
  <c r="F216" i="1"/>
  <c r="G216" i="1"/>
  <c r="H216" i="1"/>
  <c r="I216" i="1"/>
  <c r="J216" i="1"/>
  <c r="K216" i="1"/>
  <c r="A217" i="1"/>
  <c r="B217" i="1"/>
  <c r="C217" i="1"/>
  <c r="D217" i="1"/>
  <c r="E217" i="1"/>
  <c r="F217" i="1"/>
  <c r="G217" i="1"/>
  <c r="H217" i="1"/>
  <c r="I217" i="1"/>
  <c r="J217" i="1"/>
  <c r="K217" i="1"/>
  <c r="A218" i="1"/>
  <c r="B218" i="1"/>
  <c r="C218" i="1"/>
  <c r="D218" i="1"/>
  <c r="E218" i="1"/>
  <c r="F218" i="1"/>
  <c r="G218" i="1"/>
  <c r="H218" i="1"/>
  <c r="I218" i="1"/>
  <c r="J218" i="1"/>
  <c r="K218" i="1"/>
  <c r="A219" i="1"/>
  <c r="B219" i="1"/>
  <c r="C219" i="1"/>
  <c r="D219" i="1"/>
  <c r="E219" i="1"/>
  <c r="F219" i="1"/>
  <c r="G219" i="1"/>
  <c r="H219" i="1"/>
  <c r="I219" i="1"/>
  <c r="J219" i="1"/>
  <c r="K219" i="1"/>
  <c r="A220" i="1"/>
  <c r="B220" i="1"/>
  <c r="C220" i="1"/>
  <c r="D220" i="1"/>
  <c r="E220" i="1"/>
  <c r="F220" i="1"/>
  <c r="G220" i="1"/>
  <c r="H220" i="1"/>
  <c r="I220" i="1"/>
  <c r="J220" i="1"/>
  <c r="K220" i="1"/>
  <c r="A221" i="1"/>
  <c r="B221" i="1"/>
  <c r="C221" i="1"/>
  <c r="D221" i="1"/>
  <c r="E221" i="1"/>
  <c r="F221" i="1"/>
  <c r="G221" i="1"/>
  <c r="H221" i="1"/>
  <c r="I221" i="1"/>
  <c r="J221" i="1"/>
  <c r="K221" i="1"/>
  <c r="A222" i="1"/>
  <c r="B222" i="1"/>
  <c r="C222" i="1"/>
  <c r="D222" i="1"/>
  <c r="E222" i="1"/>
  <c r="F222" i="1"/>
  <c r="G222" i="1"/>
  <c r="H222" i="1"/>
  <c r="I222" i="1"/>
  <c r="J222" i="1"/>
  <c r="K222" i="1"/>
  <c r="A223" i="1"/>
  <c r="B223" i="1"/>
  <c r="C223" i="1"/>
  <c r="D223" i="1"/>
  <c r="E223" i="1"/>
  <c r="F223" i="1"/>
  <c r="G223" i="1"/>
  <c r="H223" i="1"/>
  <c r="I223" i="1"/>
  <c r="J223" i="1"/>
  <c r="K223" i="1"/>
  <c r="A224" i="1"/>
  <c r="B224" i="1"/>
  <c r="C224" i="1"/>
  <c r="D224" i="1"/>
  <c r="E224" i="1"/>
  <c r="F224" i="1"/>
  <c r="G224" i="1"/>
  <c r="H224" i="1"/>
  <c r="I224" i="1"/>
  <c r="J224" i="1"/>
  <c r="K224" i="1"/>
  <c r="A225" i="1"/>
  <c r="B225" i="1"/>
  <c r="C225" i="1"/>
  <c r="D225" i="1"/>
  <c r="E225" i="1"/>
  <c r="F225" i="1"/>
  <c r="G225" i="1"/>
  <c r="H225" i="1"/>
  <c r="I225" i="1"/>
  <c r="J225" i="1"/>
  <c r="K225" i="1"/>
  <c r="A226" i="1"/>
  <c r="B226" i="1"/>
  <c r="C226" i="1"/>
  <c r="D226" i="1"/>
  <c r="E226" i="1"/>
  <c r="F226" i="1"/>
  <c r="G226" i="1"/>
  <c r="H226" i="1"/>
  <c r="I226" i="1"/>
  <c r="J226" i="1"/>
  <c r="K226" i="1"/>
  <c r="A227" i="1"/>
  <c r="B227" i="1"/>
  <c r="C227" i="1"/>
  <c r="D227" i="1"/>
  <c r="E227" i="1"/>
  <c r="F227" i="1"/>
  <c r="G227" i="1"/>
  <c r="H227" i="1"/>
  <c r="I227" i="1"/>
  <c r="J227" i="1"/>
  <c r="K227" i="1"/>
  <c r="A228" i="1"/>
  <c r="B228" i="1"/>
  <c r="C228" i="1"/>
  <c r="D228" i="1"/>
  <c r="E228" i="1"/>
  <c r="F228" i="1"/>
  <c r="G228" i="1"/>
  <c r="H228" i="1"/>
  <c r="I228" i="1"/>
  <c r="J228" i="1"/>
  <c r="K228" i="1"/>
  <c r="A229" i="1"/>
  <c r="B229" i="1"/>
  <c r="C229" i="1"/>
  <c r="D229" i="1"/>
  <c r="E229" i="1"/>
  <c r="F229" i="1"/>
  <c r="G229" i="1"/>
  <c r="H229" i="1"/>
  <c r="I229" i="1"/>
  <c r="J229" i="1"/>
  <c r="K229" i="1"/>
  <c r="A230" i="1"/>
  <c r="B230" i="1"/>
  <c r="C230" i="1"/>
  <c r="D230" i="1"/>
  <c r="E230" i="1"/>
  <c r="F230" i="1"/>
  <c r="G230" i="1"/>
  <c r="H230" i="1"/>
  <c r="I230" i="1"/>
  <c r="J230" i="1"/>
  <c r="K230" i="1"/>
  <c r="A231" i="1"/>
  <c r="B231" i="1"/>
  <c r="C231" i="1"/>
  <c r="D231" i="1"/>
  <c r="E231" i="1"/>
  <c r="F231" i="1"/>
  <c r="G231" i="1"/>
  <c r="H231" i="1"/>
  <c r="I231" i="1"/>
  <c r="J231" i="1"/>
  <c r="K231" i="1"/>
  <c r="A232" i="1"/>
  <c r="B232" i="1"/>
  <c r="C232" i="1"/>
  <c r="D232" i="1"/>
  <c r="E232" i="1"/>
  <c r="F232" i="1"/>
  <c r="G232" i="1"/>
  <c r="H232" i="1"/>
  <c r="I232" i="1"/>
  <c r="J232" i="1"/>
  <c r="K232" i="1"/>
  <c r="A233" i="1"/>
  <c r="B233" i="1"/>
  <c r="C233" i="1"/>
  <c r="D233" i="1"/>
  <c r="E233" i="1"/>
  <c r="F233" i="1"/>
  <c r="G233" i="1"/>
  <c r="H233" i="1"/>
  <c r="I233" i="1"/>
  <c r="J233" i="1"/>
  <c r="K233" i="1"/>
  <c r="A234" i="1"/>
  <c r="B234" i="1"/>
  <c r="C234" i="1"/>
  <c r="D234" i="1"/>
  <c r="E234" i="1"/>
  <c r="F234" i="1"/>
  <c r="G234" i="1"/>
  <c r="H234" i="1"/>
  <c r="I234" i="1"/>
  <c r="J234" i="1"/>
  <c r="K234" i="1"/>
  <c r="A235" i="1"/>
  <c r="B235" i="1"/>
  <c r="C235" i="1"/>
  <c r="D235" i="1"/>
  <c r="E235" i="1"/>
  <c r="F235" i="1"/>
  <c r="G235" i="1"/>
  <c r="H235" i="1"/>
  <c r="I235" i="1"/>
  <c r="J235" i="1"/>
  <c r="K235" i="1"/>
  <c r="A236" i="1"/>
  <c r="B236" i="1"/>
  <c r="C236" i="1"/>
  <c r="D236" i="1"/>
  <c r="E236" i="1"/>
  <c r="F236" i="1"/>
  <c r="G236" i="1"/>
  <c r="H236" i="1"/>
  <c r="I236" i="1"/>
  <c r="J236" i="1"/>
  <c r="K236" i="1"/>
  <c r="A237" i="1"/>
  <c r="B237" i="1"/>
  <c r="C237" i="1"/>
  <c r="D237" i="1"/>
  <c r="E237" i="1"/>
  <c r="F237" i="1"/>
  <c r="G237" i="1"/>
  <c r="H237" i="1"/>
  <c r="I237" i="1"/>
  <c r="J237" i="1"/>
  <c r="K237" i="1"/>
  <c r="A238" i="1"/>
  <c r="B238" i="1"/>
  <c r="C238" i="1"/>
  <c r="D238" i="1"/>
  <c r="E238" i="1"/>
  <c r="F238" i="1"/>
  <c r="G238" i="1"/>
  <c r="H238" i="1"/>
  <c r="I238" i="1"/>
  <c r="J238" i="1"/>
  <c r="K238" i="1"/>
  <c r="A239" i="1"/>
  <c r="B239" i="1"/>
  <c r="C239" i="1"/>
  <c r="D239" i="1"/>
  <c r="E239" i="1"/>
  <c r="F239" i="1"/>
  <c r="G239" i="1"/>
  <c r="H239" i="1"/>
  <c r="I239" i="1"/>
  <c r="J239" i="1"/>
  <c r="K239" i="1"/>
  <c r="A240" i="1"/>
  <c r="B240" i="1"/>
  <c r="C240" i="1"/>
  <c r="D240" i="1"/>
  <c r="E240" i="1"/>
  <c r="F240" i="1"/>
  <c r="G240" i="1"/>
  <c r="H240" i="1"/>
  <c r="I240" i="1"/>
  <c r="J240" i="1"/>
  <c r="K240" i="1"/>
  <c r="A241" i="1"/>
  <c r="B241" i="1"/>
  <c r="C241" i="1"/>
  <c r="D241" i="1"/>
  <c r="E241" i="1"/>
  <c r="F241" i="1"/>
  <c r="G241" i="1"/>
  <c r="H241" i="1"/>
  <c r="I241" i="1"/>
  <c r="J241" i="1"/>
  <c r="K241" i="1"/>
  <c r="A242" i="1"/>
  <c r="B242" i="1"/>
  <c r="C242" i="1"/>
  <c r="D242" i="1"/>
  <c r="E242" i="1"/>
  <c r="F242" i="1"/>
  <c r="G242" i="1"/>
  <c r="H242" i="1"/>
  <c r="I242" i="1"/>
  <c r="J242" i="1"/>
  <c r="K242" i="1"/>
  <c r="A243" i="1"/>
  <c r="B243" i="1"/>
  <c r="C243" i="1"/>
  <c r="D243" i="1"/>
  <c r="E243" i="1"/>
  <c r="F243" i="1"/>
  <c r="G243" i="1"/>
  <c r="H243" i="1"/>
  <c r="I243" i="1"/>
  <c r="J243" i="1"/>
  <c r="K243" i="1"/>
  <c r="A244" i="1"/>
  <c r="B244" i="1"/>
  <c r="C244" i="1"/>
  <c r="D244" i="1"/>
  <c r="E244" i="1"/>
  <c r="F244" i="1"/>
  <c r="G244" i="1"/>
  <c r="H244" i="1"/>
  <c r="I244" i="1"/>
  <c r="J244" i="1"/>
  <c r="K244" i="1"/>
  <c r="A245" i="1"/>
  <c r="B245" i="1"/>
  <c r="C245" i="1"/>
  <c r="D245" i="1"/>
  <c r="E245" i="1"/>
  <c r="F245" i="1"/>
  <c r="G245" i="1"/>
  <c r="H245" i="1"/>
  <c r="I245" i="1"/>
  <c r="J245" i="1"/>
  <c r="K245" i="1"/>
  <c r="A246" i="1"/>
  <c r="B246" i="1"/>
  <c r="C246" i="1"/>
  <c r="D246" i="1"/>
  <c r="E246" i="1"/>
  <c r="F246" i="1"/>
  <c r="G246" i="1"/>
  <c r="H246" i="1"/>
  <c r="I246" i="1"/>
  <c r="J246" i="1"/>
  <c r="K246" i="1"/>
  <c r="A247" i="1"/>
  <c r="B247" i="1"/>
  <c r="C247" i="1"/>
  <c r="D247" i="1"/>
  <c r="E247" i="1"/>
  <c r="F247" i="1"/>
  <c r="G247" i="1"/>
  <c r="H247" i="1"/>
  <c r="I247" i="1"/>
  <c r="J247" i="1"/>
  <c r="K247" i="1"/>
  <c r="A248" i="1"/>
  <c r="B248" i="1"/>
  <c r="C248" i="1"/>
  <c r="D248" i="1"/>
  <c r="E248" i="1"/>
  <c r="F248" i="1"/>
  <c r="G248" i="1"/>
  <c r="H248" i="1"/>
  <c r="I248" i="1"/>
  <c r="J248" i="1"/>
  <c r="K248" i="1"/>
  <c r="A249" i="1"/>
  <c r="B249" i="1"/>
  <c r="C249" i="1"/>
  <c r="D249" i="1"/>
  <c r="E249" i="1"/>
  <c r="F249" i="1"/>
  <c r="G249" i="1"/>
  <c r="H249" i="1"/>
  <c r="I249" i="1"/>
  <c r="J249" i="1"/>
  <c r="K249" i="1"/>
  <c r="A250" i="1"/>
  <c r="B250" i="1"/>
  <c r="C250" i="1"/>
  <c r="D250" i="1"/>
  <c r="E250" i="1"/>
  <c r="F250" i="1"/>
  <c r="G250" i="1"/>
  <c r="H250" i="1"/>
  <c r="I250" i="1"/>
  <c r="J250" i="1"/>
  <c r="K250" i="1"/>
  <c r="A251" i="1"/>
  <c r="B251" i="1"/>
  <c r="C251" i="1"/>
  <c r="D251" i="1"/>
  <c r="E251" i="1"/>
  <c r="F251" i="1"/>
  <c r="G251" i="1"/>
  <c r="H251" i="1"/>
  <c r="I251" i="1"/>
  <c r="J251" i="1"/>
  <c r="K251" i="1"/>
  <c r="A252" i="1"/>
  <c r="B252" i="1"/>
  <c r="C252" i="1"/>
  <c r="D252" i="1"/>
  <c r="E252" i="1"/>
  <c r="F252" i="1"/>
  <c r="G252" i="1"/>
  <c r="H252" i="1"/>
  <c r="I252" i="1"/>
  <c r="J252" i="1"/>
  <c r="K252" i="1"/>
  <c r="A253" i="1"/>
  <c r="B253" i="1"/>
  <c r="C253" i="1"/>
  <c r="D253" i="1"/>
  <c r="E253" i="1"/>
  <c r="F253" i="1"/>
  <c r="G253" i="1"/>
  <c r="H253" i="1"/>
  <c r="I253" i="1"/>
  <c r="J253" i="1"/>
  <c r="K253" i="1"/>
  <c r="A254" i="1"/>
  <c r="B254" i="1"/>
  <c r="C254" i="1"/>
  <c r="D254" i="1"/>
  <c r="E254" i="1"/>
  <c r="F254" i="1"/>
  <c r="G254" i="1"/>
  <c r="H254" i="1"/>
  <c r="I254" i="1"/>
  <c r="J254" i="1"/>
  <c r="K254" i="1"/>
  <c r="A255" i="1"/>
  <c r="B255" i="1"/>
  <c r="C255" i="1"/>
  <c r="D255" i="1"/>
  <c r="E255" i="1"/>
  <c r="F255" i="1"/>
  <c r="G255" i="1"/>
  <c r="H255" i="1"/>
  <c r="I255" i="1"/>
  <c r="J255" i="1"/>
  <c r="K255" i="1"/>
  <c r="A256" i="1"/>
  <c r="B256" i="1"/>
  <c r="C256" i="1"/>
  <c r="D256" i="1"/>
  <c r="E256" i="1"/>
  <c r="F256" i="1"/>
  <c r="G256" i="1"/>
  <c r="H256" i="1"/>
  <c r="I256" i="1"/>
  <c r="J256" i="1"/>
  <c r="K256" i="1"/>
  <c r="A257" i="1"/>
  <c r="B257" i="1"/>
  <c r="C257" i="1"/>
  <c r="D257" i="1"/>
  <c r="E257" i="1"/>
  <c r="F257" i="1"/>
  <c r="G257" i="1"/>
  <c r="H257" i="1"/>
  <c r="I257" i="1"/>
  <c r="J257" i="1"/>
  <c r="K257" i="1"/>
  <c r="A258" i="1"/>
  <c r="B258" i="1"/>
  <c r="C258" i="1"/>
  <c r="D258" i="1"/>
  <c r="E258" i="1"/>
  <c r="F258" i="1"/>
  <c r="G258" i="1"/>
  <c r="H258" i="1"/>
  <c r="I258" i="1"/>
  <c r="J258" i="1"/>
  <c r="K258" i="1"/>
  <c r="A259" i="1"/>
  <c r="B259" i="1"/>
  <c r="C259" i="1"/>
  <c r="D259" i="1"/>
  <c r="E259" i="1"/>
  <c r="F259" i="1"/>
  <c r="G259" i="1"/>
  <c r="H259" i="1"/>
  <c r="I259" i="1"/>
  <c r="J259" i="1"/>
  <c r="K259" i="1"/>
  <c r="A260" i="1"/>
  <c r="B260" i="1"/>
  <c r="C260" i="1"/>
  <c r="D260" i="1"/>
  <c r="E260" i="1"/>
  <c r="F260" i="1"/>
  <c r="G260" i="1"/>
  <c r="H260" i="1"/>
  <c r="I260" i="1"/>
  <c r="J260" i="1"/>
  <c r="K260" i="1"/>
  <c r="A261" i="1"/>
  <c r="B261" i="1"/>
  <c r="C261" i="1"/>
  <c r="D261" i="1"/>
  <c r="E261" i="1"/>
  <c r="F261" i="1"/>
  <c r="G261" i="1"/>
  <c r="H261" i="1"/>
  <c r="I261" i="1"/>
  <c r="J261" i="1"/>
  <c r="K261" i="1"/>
  <c r="A262" i="1"/>
  <c r="B262" i="1"/>
  <c r="C262" i="1"/>
  <c r="D262" i="1"/>
  <c r="E262" i="1"/>
  <c r="F262" i="1"/>
  <c r="G262" i="1"/>
  <c r="H262" i="1"/>
  <c r="I262" i="1"/>
  <c r="J262" i="1"/>
  <c r="K262" i="1"/>
  <c r="A263" i="1"/>
  <c r="B263" i="1"/>
  <c r="C263" i="1"/>
  <c r="D263" i="1"/>
  <c r="E263" i="1"/>
  <c r="F263" i="1"/>
  <c r="G263" i="1"/>
  <c r="H263" i="1"/>
  <c r="I263" i="1"/>
  <c r="J263" i="1"/>
  <c r="K263" i="1"/>
  <c r="A264" i="1"/>
  <c r="B264" i="1"/>
  <c r="C264" i="1"/>
  <c r="D264" i="1"/>
  <c r="E264" i="1"/>
  <c r="F264" i="1"/>
  <c r="G264" i="1"/>
  <c r="H264" i="1"/>
  <c r="I264" i="1"/>
  <c r="J264" i="1"/>
  <c r="K264" i="1"/>
  <c r="A265" i="1"/>
  <c r="B265" i="1"/>
  <c r="C265" i="1"/>
  <c r="D265" i="1"/>
  <c r="E265" i="1"/>
  <c r="F265" i="1"/>
  <c r="G265" i="1"/>
  <c r="H265" i="1"/>
  <c r="I265" i="1"/>
  <c r="J265" i="1"/>
  <c r="K265" i="1"/>
  <c r="A266" i="1"/>
  <c r="B266" i="1"/>
  <c r="C266" i="1"/>
  <c r="D266" i="1"/>
  <c r="E266" i="1"/>
  <c r="F266" i="1"/>
  <c r="G266" i="1"/>
  <c r="H266" i="1"/>
  <c r="I266" i="1"/>
  <c r="J266" i="1"/>
  <c r="K266" i="1"/>
  <c r="A267" i="1"/>
  <c r="B267" i="1"/>
  <c r="C267" i="1"/>
  <c r="D267" i="1"/>
  <c r="E267" i="1"/>
  <c r="F267" i="1"/>
  <c r="G267" i="1"/>
  <c r="H267" i="1"/>
  <c r="I267" i="1"/>
  <c r="J267" i="1"/>
  <c r="K267" i="1"/>
  <c r="A268" i="1"/>
  <c r="B268" i="1"/>
  <c r="C268" i="1"/>
  <c r="D268" i="1"/>
  <c r="E268" i="1"/>
  <c r="F268" i="1"/>
  <c r="G268" i="1"/>
  <c r="H268" i="1"/>
  <c r="I268" i="1"/>
  <c r="J268" i="1"/>
  <c r="K268" i="1"/>
  <c r="A269" i="1"/>
  <c r="B269" i="1"/>
  <c r="C269" i="1"/>
  <c r="D269" i="1"/>
  <c r="E269" i="1"/>
  <c r="F269" i="1"/>
  <c r="G269" i="1"/>
  <c r="H269" i="1"/>
  <c r="I269" i="1"/>
  <c r="J269" i="1"/>
  <c r="K269" i="1"/>
  <c r="A270" i="1"/>
  <c r="B270" i="1"/>
  <c r="C270" i="1"/>
  <c r="D270" i="1"/>
  <c r="E270" i="1"/>
  <c r="F270" i="1"/>
  <c r="G270" i="1"/>
  <c r="H270" i="1"/>
  <c r="I270" i="1"/>
  <c r="J270" i="1"/>
  <c r="K270" i="1"/>
  <c r="A271" i="1"/>
  <c r="B271" i="1"/>
  <c r="C271" i="1"/>
  <c r="D271" i="1"/>
  <c r="E271" i="1"/>
  <c r="F271" i="1"/>
  <c r="G271" i="1"/>
  <c r="H271" i="1"/>
  <c r="I271" i="1"/>
  <c r="J271" i="1"/>
  <c r="K271" i="1"/>
  <c r="A272" i="1"/>
  <c r="B272" i="1"/>
  <c r="C272" i="1"/>
  <c r="D272" i="1"/>
  <c r="E272" i="1"/>
  <c r="F272" i="1"/>
  <c r="G272" i="1"/>
  <c r="H272" i="1"/>
  <c r="I272" i="1"/>
  <c r="J272" i="1"/>
  <c r="K272" i="1"/>
  <c r="A273" i="1"/>
  <c r="B273" i="1"/>
  <c r="C273" i="1"/>
  <c r="D273" i="1"/>
  <c r="E273" i="1"/>
  <c r="F273" i="1"/>
  <c r="G273" i="1"/>
  <c r="H273" i="1"/>
  <c r="I273" i="1"/>
  <c r="J273" i="1"/>
  <c r="K273" i="1"/>
  <c r="A274" i="1"/>
  <c r="B274" i="1"/>
  <c r="C274" i="1"/>
  <c r="D274" i="1"/>
  <c r="E274" i="1"/>
  <c r="F274" i="1"/>
  <c r="G274" i="1"/>
  <c r="H274" i="1"/>
  <c r="I274" i="1"/>
  <c r="J274" i="1"/>
  <c r="K274" i="1"/>
  <c r="A275" i="1"/>
  <c r="B275" i="1"/>
  <c r="C275" i="1"/>
  <c r="D275" i="1"/>
  <c r="E275" i="1"/>
  <c r="F275" i="1"/>
  <c r="G275" i="1"/>
  <c r="H275" i="1"/>
  <c r="I275" i="1"/>
  <c r="J275" i="1"/>
  <c r="K275" i="1"/>
  <c r="A276" i="1"/>
  <c r="B276" i="1"/>
  <c r="C276" i="1"/>
  <c r="D276" i="1"/>
  <c r="E276" i="1"/>
  <c r="F276" i="1"/>
  <c r="G276" i="1"/>
  <c r="H276" i="1"/>
  <c r="I276" i="1"/>
  <c r="J276" i="1"/>
  <c r="K276" i="1"/>
  <c r="A277" i="1"/>
  <c r="B277" i="1"/>
  <c r="C277" i="1"/>
  <c r="D277" i="1"/>
  <c r="E277" i="1"/>
  <c r="F277" i="1"/>
  <c r="G277" i="1"/>
  <c r="H277" i="1"/>
  <c r="I277" i="1"/>
  <c r="J277" i="1"/>
  <c r="K277" i="1"/>
  <c r="A278" i="1"/>
  <c r="B278" i="1"/>
  <c r="C278" i="1"/>
  <c r="D278" i="1"/>
  <c r="E278" i="1"/>
  <c r="F278" i="1"/>
  <c r="G278" i="1"/>
  <c r="H278" i="1"/>
  <c r="I278" i="1"/>
  <c r="J278" i="1"/>
  <c r="K278" i="1"/>
  <c r="A279" i="1"/>
  <c r="B279" i="1"/>
  <c r="C279" i="1"/>
  <c r="D279" i="1"/>
  <c r="E279" i="1"/>
  <c r="F279" i="1"/>
  <c r="G279" i="1"/>
  <c r="H279" i="1"/>
  <c r="I279" i="1"/>
  <c r="J279" i="1"/>
  <c r="K279" i="1"/>
  <c r="A280" i="1"/>
  <c r="B280" i="1"/>
  <c r="C280" i="1"/>
  <c r="D280" i="1"/>
  <c r="E280" i="1"/>
  <c r="F280" i="1"/>
  <c r="G280" i="1"/>
  <c r="H280" i="1"/>
  <c r="I280" i="1"/>
  <c r="J280" i="1"/>
  <c r="K280" i="1"/>
  <c r="A281" i="1"/>
  <c r="B281" i="1"/>
  <c r="C281" i="1"/>
  <c r="D281" i="1"/>
  <c r="E281" i="1"/>
  <c r="F281" i="1"/>
  <c r="G281" i="1"/>
  <c r="H281" i="1"/>
  <c r="I281" i="1"/>
  <c r="J281" i="1"/>
  <c r="K281" i="1"/>
  <c r="A282" i="1"/>
  <c r="B282" i="1"/>
  <c r="C282" i="1"/>
  <c r="D282" i="1"/>
  <c r="E282" i="1"/>
  <c r="F282" i="1"/>
  <c r="G282" i="1"/>
  <c r="H282" i="1"/>
  <c r="I282" i="1"/>
  <c r="J282" i="1"/>
  <c r="K282" i="1"/>
  <c r="A283" i="1"/>
  <c r="B283" i="1"/>
  <c r="C283" i="1"/>
  <c r="D283" i="1"/>
  <c r="E283" i="1"/>
  <c r="F283" i="1"/>
  <c r="G283" i="1"/>
  <c r="H283" i="1"/>
  <c r="I283" i="1"/>
  <c r="J283" i="1"/>
  <c r="K283" i="1"/>
  <c r="A284" i="1"/>
  <c r="B284" i="1"/>
  <c r="C284" i="1"/>
  <c r="D284" i="1"/>
  <c r="E284" i="1"/>
  <c r="F284" i="1"/>
  <c r="G284" i="1"/>
  <c r="H284" i="1"/>
  <c r="I284" i="1"/>
  <c r="J284" i="1"/>
  <c r="K284" i="1"/>
  <c r="A285" i="1"/>
  <c r="B285" i="1"/>
  <c r="C285" i="1"/>
  <c r="D285" i="1"/>
  <c r="E285" i="1"/>
  <c r="F285" i="1"/>
  <c r="G285" i="1"/>
  <c r="H285" i="1"/>
  <c r="I285" i="1"/>
  <c r="J285" i="1"/>
  <c r="K285" i="1"/>
  <c r="A286" i="1"/>
  <c r="B286" i="1"/>
  <c r="C286" i="1"/>
  <c r="D286" i="1"/>
  <c r="E286" i="1"/>
  <c r="F286" i="1"/>
  <c r="G286" i="1"/>
  <c r="H286" i="1"/>
  <c r="I286" i="1"/>
  <c r="J286" i="1"/>
  <c r="K286" i="1"/>
  <c r="A287" i="1"/>
  <c r="B287" i="1"/>
  <c r="C287" i="1"/>
  <c r="D287" i="1"/>
  <c r="E287" i="1"/>
  <c r="F287" i="1"/>
  <c r="G287" i="1"/>
  <c r="H287" i="1"/>
  <c r="I287" i="1"/>
  <c r="J287" i="1"/>
  <c r="K287" i="1"/>
  <c r="A288" i="1"/>
  <c r="B288" i="1"/>
  <c r="C288" i="1"/>
  <c r="D288" i="1"/>
  <c r="E288" i="1"/>
  <c r="F288" i="1"/>
  <c r="G288" i="1"/>
  <c r="H288" i="1"/>
  <c r="I288" i="1"/>
  <c r="J288" i="1"/>
  <c r="K288" i="1"/>
  <c r="A289" i="1"/>
  <c r="B289" i="1"/>
  <c r="C289" i="1"/>
  <c r="D289" i="1"/>
  <c r="E289" i="1"/>
  <c r="F289" i="1"/>
  <c r="G289" i="1"/>
  <c r="H289" i="1"/>
  <c r="I289" i="1"/>
  <c r="J289" i="1"/>
  <c r="K289" i="1"/>
  <c r="A290" i="1"/>
  <c r="B290" i="1"/>
  <c r="C290" i="1"/>
  <c r="D290" i="1"/>
  <c r="E290" i="1"/>
  <c r="F290" i="1"/>
  <c r="G290" i="1"/>
  <c r="H290" i="1"/>
  <c r="I290" i="1"/>
  <c r="J290" i="1"/>
  <c r="K290" i="1"/>
  <c r="A291" i="1"/>
  <c r="B291" i="1"/>
  <c r="C291" i="1"/>
  <c r="D291" i="1"/>
  <c r="E291" i="1"/>
  <c r="F291" i="1"/>
  <c r="G291" i="1"/>
  <c r="H291" i="1"/>
  <c r="I291" i="1"/>
  <c r="J291" i="1"/>
  <c r="K291" i="1"/>
  <c r="A292" i="1"/>
  <c r="B292" i="1"/>
  <c r="C292" i="1"/>
  <c r="D292" i="1"/>
  <c r="E292" i="1"/>
  <c r="F292" i="1"/>
  <c r="G292" i="1"/>
  <c r="H292" i="1"/>
  <c r="I292" i="1"/>
  <c r="J292" i="1"/>
  <c r="K292" i="1"/>
  <c r="A293" i="1"/>
  <c r="B293" i="1"/>
  <c r="C293" i="1"/>
  <c r="D293" i="1"/>
  <c r="E293" i="1"/>
  <c r="F293" i="1"/>
  <c r="G293" i="1"/>
  <c r="H293" i="1"/>
  <c r="I293" i="1"/>
  <c r="J293" i="1"/>
  <c r="K293" i="1"/>
  <c r="A294" i="1"/>
  <c r="B294" i="1"/>
  <c r="C294" i="1"/>
  <c r="D294" i="1"/>
  <c r="E294" i="1"/>
  <c r="F294" i="1"/>
  <c r="G294" i="1"/>
  <c r="H294" i="1"/>
  <c r="I294" i="1"/>
  <c r="J294" i="1"/>
  <c r="K294" i="1"/>
  <c r="A295" i="1"/>
  <c r="B295" i="1"/>
  <c r="C295" i="1"/>
  <c r="D295" i="1"/>
  <c r="E295" i="1"/>
  <c r="F295" i="1"/>
  <c r="G295" i="1"/>
  <c r="H295" i="1"/>
  <c r="I295" i="1"/>
  <c r="J295" i="1"/>
  <c r="K295" i="1"/>
  <c r="A296" i="1"/>
  <c r="B296" i="1"/>
  <c r="C296" i="1"/>
  <c r="D296" i="1"/>
  <c r="E296" i="1"/>
  <c r="F296" i="1"/>
  <c r="G296" i="1"/>
  <c r="H296" i="1"/>
  <c r="I296" i="1"/>
  <c r="J296" i="1"/>
  <c r="K296" i="1"/>
  <c r="A297" i="1"/>
  <c r="B297" i="1"/>
  <c r="C297" i="1"/>
  <c r="D297" i="1"/>
  <c r="E297" i="1"/>
  <c r="F297" i="1"/>
  <c r="G297" i="1"/>
  <c r="H297" i="1"/>
  <c r="I297" i="1"/>
  <c r="J297" i="1"/>
  <c r="K297" i="1"/>
  <c r="A298" i="1"/>
  <c r="B298" i="1"/>
  <c r="C298" i="1"/>
  <c r="D298" i="1"/>
  <c r="E298" i="1"/>
  <c r="F298" i="1"/>
  <c r="G298" i="1"/>
  <c r="H298" i="1"/>
  <c r="I298" i="1"/>
  <c r="J298" i="1"/>
  <c r="K298" i="1"/>
  <c r="A299" i="1"/>
  <c r="B299" i="1"/>
  <c r="C299" i="1"/>
  <c r="D299" i="1"/>
  <c r="E299" i="1"/>
  <c r="F299" i="1"/>
  <c r="G299" i="1"/>
  <c r="H299" i="1"/>
  <c r="I299" i="1"/>
  <c r="J299" i="1"/>
  <c r="K299" i="1"/>
  <c r="A300" i="1"/>
  <c r="B300" i="1"/>
  <c r="C300" i="1"/>
  <c r="D300" i="1"/>
  <c r="E300" i="1"/>
  <c r="F300" i="1"/>
  <c r="G300" i="1"/>
  <c r="H300" i="1"/>
  <c r="I300" i="1"/>
  <c r="J300" i="1"/>
  <c r="K300" i="1"/>
  <c r="A301" i="1"/>
  <c r="B301" i="1"/>
  <c r="C301" i="1"/>
  <c r="D301" i="1"/>
  <c r="E301" i="1"/>
  <c r="F301" i="1"/>
  <c r="G301" i="1"/>
  <c r="H301" i="1"/>
  <c r="I301" i="1"/>
  <c r="J301" i="1"/>
  <c r="K301" i="1"/>
  <c r="A302" i="1"/>
  <c r="B302" i="1"/>
  <c r="C302" i="1"/>
  <c r="D302" i="1"/>
  <c r="E302" i="1"/>
  <c r="F302" i="1"/>
  <c r="G302" i="1"/>
  <c r="H302" i="1"/>
  <c r="I302" i="1"/>
  <c r="J302" i="1"/>
  <c r="K302" i="1"/>
  <c r="A303" i="1"/>
  <c r="B303" i="1"/>
  <c r="C303" i="1"/>
  <c r="D303" i="1"/>
  <c r="E303" i="1"/>
  <c r="F303" i="1"/>
  <c r="G303" i="1"/>
  <c r="H303" i="1"/>
  <c r="I303" i="1"/>
  <c r="J303" i="1"/>
  <c r="K303" i="1"/>
  <c r="A304" i="1"/>
  <c r="B304" i="1"/>
  <c r="C304" i="1"/>
  <c r="D304" i="1"/>
  <c r="E304" i="1"/>
  <c r="F304" i="1"/>
  <c r="G304" i="1"/>
  <c r="H304" i="1"/>
  <c r="I304" i="1"/>
  <c r="J304" i="1"/>
  <c r="K304" i="1"/>
  <c r="A305" i="1"/>
  <c r="B305" i="1"/>
  <c r="C305" i="1"/>
  <c r="D305" i="1"/>
  <c r="E305" i="1"/>
  <c r="F305" i="1"/>
  <c r="G305" i="1"/>
  <c r="H305" i="1"/>
  <c r="I305" i="1"/>
  <c r="J305" i="1"/>
  <c r="K305" i="1"/>
  <c r="A306" i="1"/>
  <c r="B306" i="1"/>
  <c r="C306" i="1"/>
  <c r="D306" i="1"/>
  <c r="E306" i="1"/>
  <c r="F306" i="1"/>
  <c r="G306" i="1"/>
  <c r="H306" i="1"/>
  <c r="I306" i="1"/>
  <c r="J306" i="1"/>
  <c r="K306" i="1"/>
  <c r="A307" i="1"/>
  <c r="B307" i="1"/>
  <c r="C307" i="1"/>
  <c r="D307" i="1"/>
  <c r="E307" i="1"/>
  <c r="F307" i="1"/>
  <c r="G307" i="1"/>
  <c r="H307" i="1"/>
  <c r="I307" i="1"/>
  <c r="J307" i="1"/>
  <c r="K307" i="1"/>
  <c r="A308" i="1"/>
  <c r="B308" i="1"/>
  <c r="C308" i="1"/>
  <c r="D308" i="1"/>
  <c r="E308" i="1"/>
  <c r="F308" i="1"/>
  <c r="G308" i="1"/>
  <c r="H308" i="1"/>
  <c r="I308" i="1"/>
  <c r="J308" i="1"/>
  <c r="K308" i="1"/>
  <c r="A309" i="1"/>
  <c r="B309" i="1"/>
  <c r="C309" i="1"/>
  <c r="D309" i="1"/>
  <c r="E309" i="1"/>
  <c r="F309" i="1"/>
  <c r="G309" i="1"/>
  <c r="H309" i="1"/>
  <c r="I309" i="1"/>
  <c r="J309" i="1"/>
  <c r="K309" i="1"/>
  <c r="A310" i="1"/>
  <c r="B310" i="1"/>
  <c r="C310" i="1"/>
  <c r="D310" i="1"/>
  <c r="E310" i="1"/>
  <c r="F310" i="1"/>
  <c r="G310" i="1"/>
  <c r="H310" i="1"/>
  <c r="I310" i="1"/>
  <c r="J310" i="1"/>
  <c r="K310" i="1"/>
  <c r="A311" i="1"/>
  <c r="B311" i="1"/>
  <c r="C311" i="1"/>
  <c r="D311" i="1"/>
  <c r="E311" i="1"/>
  <c r="F311" i="1"/>
  <c r="G311" i="1"/>
  <c r="H311" i="1"/>
  <c r="I311" i="1"/>
  <c r="J311" i="1"/>
  <c r="K311" i="1"/>
  <c r="A312" i="1"/>
  <c r="B312" i="1"/>
  <c r="C312" i="1"/>
  <c r="D312" i="1"/>
  <c r="E312" i="1"/>
  <c r="F312" i="1"/>
  <c r="G312" i="1"/>
  <c r="H312" i="1"/>
  <c r="I312" i="1"/>
  <c r="J312" i="1"/>
  <c r="K312" i="1"/>
  <c r="A313" i="1"/>
  <c r="B313" i="1"/>
  <c r="C313" i="1"/>
  <c r="D313" i="1"/>
  <c r="E313" i="1"/>
  <c r="F313" i="1"/>
  <c r="G313" i="1"/>
  <c r="H313" i="1"/>
  <c r="I313" i="1"/>
  <c r="J313" i="1"/>
  <c r="K313" i="1"/>
  <c r="A314" i="1"/>
  <c r="B314" i="1"/>
  <c r="C314" i="1"/>
  <c r="D314" i="1"/>
  <c r="E314" i="1"/>
  <c r="F314" i="1"/>
  <c r="G314" i="1"/>
  <c r="H314" i="1"/>
  <c r="I314" i="1"/>
  <c r="J314" i="1"/>
  <c r="K314" i="1"/>
  <c r="A315" i="1"/>
  <c r="B315" i="1"/>
  <c r="C315" i="1"/>
  <c r="D315" i="1"/>
  <c r="E315" i="1"/>
  <c r="F315" i="1"/>
  <c r="G315" i="1"/>
  <c r="H315" i="1"/>
  <c r="I315" i="1"/>
  <c r="J315" i="1"/>
  <c r="K315" i="1"/>
  <c r="A316" i="1"/>
  <c r="B316" i="1"/>
  <c r="C316" i="1"/>
  <c r="D316" i="1"/>
  <c r="E316" i="1"/>
  <c r="F316" i="1"/>
  <c r="G316" i="1"/>
  <c r="H316" i="1"/>
  <c r="I316" i="1"/>
  <c r="J316" i="1"/>
  <c r="K316" i="1"/>
  <c r="A317" i="1"/>
  <c r="B317" i="1"/>
  <c r="C317" i="1"/>
  <c r="D317" i="1"/>
  <c r="E317" i="1"/>
  <c r="F317" i="1"/>
  <c r="G317" i="1"/>
  <c r="H317" i="1"/>
  <c r="I317" i="1"/>
  <c r="J317" i="1"/>
  <c r="K317" i="1"/>
  <c r="A318" i="1"/>
  <c r="B318" i="1"/>
  <c r="C318" i="1"/>
  <c r="D318" i="1"/>
  <c r="E318" i="1"/>
  <c r="F318" i="1"/>
  <c r="G318" i="1"/>
  <c r="H318" i="1"/>
  <c r="I318" i="1"/>
  <c r="J318" i="1"/>
  <c r="K318" i="1"/>
  <c r="A319" i="1"/>
  <c r="B319" i="1"/>
  <c r="C319" i="1"/>
  <c r="D319" i="1"/>
  <c r="E319" i="1"/>
  <c r="F319" i="1"/>
  <c r="G319" i="1"/>
  <c r="H319" i="1"/>
  <c r="I319" i="1"/>
  <c r="J319" i="1"/>
  <c r="K319" i="1"/>
  <c r="A320" i="1"/>
  <c r="B320" i="1"/>
  <c r="C320" i="1"/>
  <c r="D320" i="1"/>
  <c r="E320" i="1"/>
  <c r="F320" i="1"/>
  <c r="G320" i="1"/>
  <c r="H320" i="1"/>
  <c r="I320" i="1"/>
  <c r="J320" i="1"/>
  <c r="K320" i="1"/>
  <c r="A321" i="1"/>
  <c r="B321" i="1"/>
  <c r="C321" i="1"/>
  <c r="D321" i="1"/>
  <c r="E321" i="1"/>
  <c r="F321" i="1"/>
  <c r="G321" i="1"/>
  <c r="H321" i="1"/>
  <c r="I321" i="1"/>
  <c r="J321" i="1"/>
  <c r="K321" i="1"/>
  <c r="A322" i="1"/>
  <c r="B322" i="1"/>
  <c r="C322" i="1"/>
  <c r="D322" i="1"/>
  <c r="E322" i="1"/>
  <c r="F322" i="1"/>
  <c r="G322" i="1"/>
  <c r="H322" i="1"/>
  <c r="I322" i="1"/>
  <c r="J322" i="1"/>
  <c r="K322" i="1"/>
  <c r="A323" i="1"/>
  <c r="B323" i="1"/>
  <c r="C323" i="1"/>
  <c r="D323" i="1"/>
  <c r="E323" i="1"/>
  <c r="F323" i="1"/>
  <c r="G323" i="1"/>
  <c r="H323" i="1"/>
  <c r="I323" i="1"/>
  <c r="J323" i="1"/>
  <c r="K323" i="1"/>
  <c r="A324" i="1"/>
  <c r="B324" i="1"/>
  <c r="C324" i="1"/>
  <c r="D324" i="1"/>
  <c r="E324" i="1"/>
  <c r="F324" i="1"/>
  <c r="G324" i="1"/>
  <c r="H324" i="1"/>
  <c r="I324" i="1"/>
  <c r="J324" i="1"/>
  <c r="K324" i="1"/>
  <c r="A325" i="1"/>
  <c r="B325" i="1"/>
  <c r="C325" i="1"/>
  <c r="D325" i="1"/>
  <c r="E325" i="1"/>
  <c r="F325" i="1"/>
  <c r="G325" i="1"/>
  <c r="H325" i="1"/>
  <c r="I325" i="1"/>
  <c r="J325" i="1"/>
  <c r="K325" i="1"/>
  <c r="A326" i="1"/>
  <c r="B326" i="1"/>
  <c r="C326" i="1"/>
  <c r="D326" i="1"/>
  <c r="E326" i="1"/>
  <c r="F326" i="1"/>
  <c r="G326" i="1"/>
  <c r="H326" i="1"/>
  <c r="I326" i="1"/>
  <c r="J326" i="1"/>
  <c r="K326" i="1"/>
  <c r="A327" i="1"/>
  <c r="B327" i="1"/>
  <c r="C327" i="1"/>
  <c r="D327" i="1"/>
  <c r="E327" i="1"/>
  <c r="F327" i="1"/>
  <c r="G327" i="1"/>
  <c r="H327" i="1"/>
  <c r="I327" i="1"/>
  <c r="J327" i="1"/>
  <c r="K327" i="1"/>
  <c r="A328" i="1"/>
  <c r="B328" i="1"/>
  <c r="C328" i="1"/>
  <c r="D328" i="1"/>
  <c r="E328" i="1"/>
  <c r="F328" i="1"/>
  <c r="G328" i="1"/>
  <c r="H328" i="1"/>
  <c r="I328" i="1"/>
  <c r="J328" i="1"/>
  <c r="K328" i="1"/>
  <c r="A329" i="1"/>
  <c r="B329" i="1"/>
  <c r="C329" i="1"/>
  <c r="D329" i="1"/>
  <c r="E329" i="1"/>
  <c r="F329" i="1"/>
  <c r="G329" i="1"/>
  <c r="H329" i="1"/>
  <c r="I329" i="1"/>
  <c r="J329" i="1"/>
  <c r="K329" i="1"/>
  <c r="A330" i="1"/>
  <c r="B330" i="1"/>
  <c r="C330" i="1"/>
  <c r="D330" i="1"/>
  <c r="E330" i="1"/>
  <c r="F330" i="1"/>
  <c r="G330" i="1"/>
  <c r="H330" i="1"/>
  <c r="I330" i="1"/>
  <c r="J330" i="1"/>
  <c r="K330" i="1"/>
  <c r="A331" i="1"/>
  <c r="B331" i="1"/>
  <c r="C331" i="1"/>
  <c r="D331" i="1"/>
  <c r="E331" i="1"/>
  <c r="F331" i="1"/>
  <c r="G331" i="1"/>
  <c r="H331" i="1"/>
  <c r="I331" i="1"/>
  <c r="J331" i="1"/>
  <c r="K331" i="1"/>
  <c r="A332" i="1"/>
  <c r="B332" i="1"/>
  <c r="C332" i="1"/>
  <c r="D332" i="1"/>
  <c r="E332" i="1"/>
  <c r="F332" i="1"/>
  <c r="G332" i="1"/>
  <c r="H332" i="1"/>
  <c r="I332" i="1"/>
  <c r="J332" i="1"/>
  <c r="K332" i="1"/>
  <c r="A333" i="1"/>
  <c r="B333" i="1"/>
  <c r="C333" i="1"/>
  <c r="D333" i="1"/>
  <c r="E333" i="1"/>
  <c r="F333" i="1"/>
  <c r="G333" i="1"/>
  <c r="H333" i="1"/>
  <c r="I333" i="1"/>
  <c r="J333" i="1"/>
  <c r="K333" i="1"/>
  <c r="A334" i="1"/>
  <c r="B334" i="1"/>
  <c r="C334" i="1"/>
  <c r="D334" i="1"/>
  <c r="E334" i="1"/>
  <c r="F334" i="1"/>
  <c r="G334" i="1"/>
  <c r="H334" i="1"/>
  <c r="I334" i="1"/>
  <c r="J334" i="1"/>
  <c r="K334" i="1"/>
  <c r="A335" i="1"/>
  <c r="B335" i="1"/>
  <c r="C335" i="1"/>
  <c r="D335" i="1"/>
  <c r="E335" i="1"/>
  <c r="F335" i="1"/>
  <c r="G335" i="1"/>
  <c r="H335" i="1"/>
  <c r="I335" i="1"/>
  <c r="J335" i="1"/>
  <c r="K335" i="1"/>
  <c r="A336" i="1"/>
  <c r="B336" i="1"/>
  <c r="C336" i="1"/>
  <c r="D336" i="1"/>
  <c r="E336" i="1"/>
  <c r="F336" i="1"/>
  <c r="G336" i="1"/>
  <c r="H336" i="1"/>
  <c r="I336" i="1"/>
  <c r="J336" i="1"/>
  <c r="K336" i="1"/>
  <c r="A337" i="1"/>
  <c r="B337" i="1"/>
  <c r="C337" i="1"/>
  <c r="D337" i="1"/>
  <c r="E337" i="1"/>
  <c r="F337" i="1"/>
  <c r="G337" i="1"/>
  <c r="H337" i="1"/>
  <c r="I337" i="1"/>
  <c r="J337" i="1"/>
  <c r="K337" i="1"/>
  <c r="A338" i="1"/>
  <c r="B338" i="1"/>
  <c r="C338" i="1"/>
  <c r="D338" i="1"/>
  <c r="E338" i="1"/>
  <c r="F338" i="1"/>
  <c r="G338" i="1"/>
  <c r="H338" i="1"/>
  <c r="I338" i="1"/>
  <c r="J338" i="1"/>
  <c r="K338" i="1"/>
  <c r="A339" i="1"/>
  <c r="B339" i="1"/>
  <c r="C339" i="1"/>
  <c r="D339" i="1"/>
  <c r="E339" i="1"/>
  <c r="F339" i="1"/>
  <c r="G339" i="1"/>
  <c r="H339" i="1"/>
  <c r="I339" i="1"/>
  <c r="J339" i="1"/>
  <c r="K339" i="1"/>
  <c r="A340" i="1"/>
  <c r="B340" i="1"/>
  <c r="C340" i="1"/>
  <c r="D340" i="1"/>
  <c r="E340" i="1"/>
  <c r="F340" i="1"/>
  <c r="G340" i="1"/>
  <c r="H340" i="1"/>
  <c r="I340" i="1"/>
  <c r="J340" i="1"/>
  <c r="K340" i="1"/>
  <c r="A341" i="1"/>
  <c r="B341" i="1"/>
  <c r="C341" i="1"/>
  <c r="D341" i="1"/>
  <c r="E341" i="1"/>
  <c r="F341" i="1"/>
  <c r="G341" i="1"/>
  <c r="H341" i="1"/>
  <c r="I341" i="1"/>
  <c r="J341" i="1"/>
  <c r="K341" i="1"/>
  <c r="A342" i="1"/>
  <c r="B342" i="1"/>
  <c r="C342" i="1"/>
  <c r="D342" i="1"/>
  <c r="E342" i="1"/>
  <c r="F342" i="1"/>
  <c r="G342" i="1"/>
  <c r="H342" i="1"/>
  <c r="I342" i="1"/>
  <c r="J342" i="1"/>
  <c r="K342" i="1"/>
  <c r="A343" i="1"/>
  <c r="B343" i="1"/>
  <c r="C343" i="1"/>
  <c r="D343" i="1"/>
  <c r="E343" i="1"/>
  <c r="F343" i="1"/>
  <c r="G343" i="1"/>
  <c r="H343" i="1"/>
  <c r="I343" i="1"/>
  <c r="J343" i="1"/>
  <c r="K343" i="1"/>
  <c r="A344" i="1"/>
  <c r="B344" i="1"/>
  <c r="C344" i="1"/>
  <c r="D344" i="1"/>
  <c r="E344" i="1"/>
  <c r="F344" i="1"/>
  <c r="G344" i="1"/>
  <c r="H344" i="1"/>
  <c r="I344" i="1"/>
  <c r="J344" i="1"/>
  <c r="K344" i="1"/>
  <c r="A345" i="1"/>
  <c r="B345" i="1"/>
  <c r="C345" i="1"/>
  <c r="D345" i="1"/>
  <c r="E345" i="1"/>
  <c r="F345" i="1"/>
  <c r="G345" i="1"/>
  <c r="H345" i="1"/>
  <c r="I345" i="1"/>
  <c r="J345" i="1"/>
  <c r="K345" i="1"/>
  <c r="A346" i="1"/>
  <c r="B346" i="1"/>
  <c r="C346" i="1"/>
  <c r="D346" i="1"/>
  <c r="E346" i="1"/>
  <c r="F346" i="1"/>
  <c r="G346" i="1"/>
  <c r="H346" i="1"/>
  <c r="I346" i="1"/>
  <c r="J346" i="1"/>
  <c r="K346" i="1"/>
  <c r="A347" i="1"/>
  <c r="B347" i="1"/>
  <c r="C347" i="1"/>
  <c r="D347" i="1"/>
  <c r="E347" i="1"/>
  <c r="F347" i="1"/>
  <c r="G347" i="1"/>
  <c r="H347" i="1"/>
  <c r="I347" i="1"/>
  <c r="J347" i="1"/>
  <c r="K347" i="1"/>
  <c r="A348" i="1"/>
  <c r="B348" i="1"/>
  <c r="C348" i="1"/>
  <c r="D348" i="1"/>
  <c r="E348" i="1"/>
  <c r="F348" i="1"/>
  <c r="G348" i="1"/>
  <c r="H348" i="1"/>
  <c r="I348" i="1"/>
  <c r="J348" i="1"/>
  <c r="K348" i="1"/>
  <c r="A349" i="1"/>
  <c r="B349" i="1"/>
  <c r="C349" i="1"/>
  <c r="D349" i="1"/>
  <c r="E349" i="1"/>
  <c r="F349" i="1"/>
  <c r="G349" i="1"/>
  <c r="H349" i="1"/>
  <c r="I349" i="1"/>
  <c r="J349" i="1"/>
  <c r="K349" i="1"/>
  <c r="A350" i="1"/>
  <c r="B350" i="1"/>
  <c r="C350" i="1"/>
  <c r="D350" i="1"/>
  <c r="E350" i="1"/>
  <c r="F350" i="1"/>
  <c r="G350" i="1"/>
  <c r="H350" i="1"/>
  <c r="I350" i="1"/>
  <c r="J350" i="1"/>
  <c r="K350" i="1"/>
  <c r="A351" i="1"/>
  <c r="B351" i="1"/>
  <c r="C351" i="1"/>
  <c r="D351" i="1"/>
  <c r="E351" i="1"/>
  <c r="F351" i="1"/>
  <c r="G351" i="1"/>
  <c r="H351" i="1"/>
  <c r="I351" i="1"/>
  <c r="J351" i="1"/>
  <c r="K351" i="1"/>
  <c r="A352" i="1"/>
  <c r="B352" i="1"/>
  <c r="C352" i="1"/>
  <c r="D352" i="1"/>
  <c r="E352" i="1"/>
  <c r="F352" i="1"/>
  <c r="G352" i="1"/>
  <c r="H352" i="1"/>
  <c r="I352" i="1"/>
  <c r="J352" i="1"/>
  <c r="K352" i="1"/>
  <c r="A353" i="1"/>
  <c r="B353" i="1"/>
  <c r="C353" i="1"/>
  <c r="D353" i="1"/>
  <c r="E353" i="1"/>
  <c r="F353" i="1"/>
  <c r="G353" i="1"/>
  <c r="H353" i="1"/>
  <c r="I353" i="1"/>
  <c r="J353" i="1"/>
  <c r="K353" i="1"/>
  <c r="A354" i="1"/>
  <c r="B354" i="1"/>
  <c r="C354" i="1"/>
  <c r="D354" i="1"/>
  <c r="E354" i="1"/>
  <c r="F354" i="1"/>
  <c r="G354" i="1"/>
  <c r="H354" i="1"/>
  <c r="I354" i="1"/>
  <c r="J354" i="1"/>
  <c r="K354" i="1"/>
  <c r="A355" i="1"/>
  <c r="B355" i="1"/>
  <c r="C355" i="1"/>
  <c r="D355" i="1"/>
  <c r="E355" i="1"/>
  <c r="F355" i="1"/>
  <c r="G355" i="1"/>
  <c r="H355" i="1"/>
  <c r="I355" i="1"/>
  <c r="J355" i="1"/>
  <c r="K355" i="1"/>
  <c r="A356" i="1"/>
  <c r="B356" i="1"/>
  <c r="C356" i="1"/>
  <c r="D356" i="1"/>
  <c r="E356" i="1"/>
  <c r="F356" i="1"/>
  <c r="G356" i="1"/>
  <c r="H356" i="1"/>
  <c r="I356" i="1"/>
  <c r="J356" i="1"/>
  <c r="K356" i="1"/>
  <c r="A357" i="1"/>
  <c r="B357" i="1"/>
  <c r="C357" i="1"/>
  <c r="D357" i="1"/>
  <c r="E357" i="1"/>
  <c r="F357" i="1"/>
  <c r="G357" i="1"/>
  <c r="H357" i="1"/>
  <c r="I357" i="1"/>
  <c r="J357" i="1"/>
  <c r="K357" i="1"/>
  <c r="A358" i="1"/>
  <c r="B358" i="1"/>
  <c r="C358" i="1"/>
  <c r="D358" i="1"/>
  <c r="E358" i="1"/>
  <c r="F358" i="1"/>
  <c r="G358" i="1"/>
  <c r="H358" i="1"/>
  <c r="I358" i="1"/>
  <c r="J358" i="1"/>
  <c r="K358" i="1"/>
  <c r="A359" i="1"/>
  <c r="B359" i="1"/>
  <c r="C359" i="1"/>
  <c r="D359" i="1"/>
  <c r="E359" i="1"/>
  <c r="F359" i="1"/>
  <c r="G359" i="1"/>
  <c r="H359" i="1"/>
  <c r="I359" i="1"/>
  <c r="J359" i="1"/>
  <c r="K359" i="1"/>
  <c r="A360" i="1"/>
  <c r="B360" i="1"/>
  <c r="C360" i="1"/>
  <c r="D360" i="1"/>
  <c r="E360" i="1"/>
  <c r="F360" i="1"/>
  <c r="G360" i="1"/>
  <c r="H360" i="1"/>
  <c r="I360" i="1"/>
  <c r="J360" i="1"/>
  <c r="K360" i="1"/>
  <c r="A361" i="1"/>
  <c r="B361" i="1"/>
  <c r="C361" i="1"/>
  <c r="D361" i="1"/>
  <c r="E361" i="1"/>
  <c r="F361" i="1"/>
  <c r="G361" i="1"/>
  <c r="H361" i="1"/>
  <c r="I361" i="1"/>
  <c r="J361" i="1"/>
  <c r="K361" i="1"/>
  <c r="A362" i="1"/>
  <c r="B362" i="1"/>
  <c r="C362" i="1"/>
  <c r="D362" i="1"/>
  <c r="E362" i="1"/>
  <c r="F362" i="1"/>
  <c r="G362" i="1"/>
  <c r="H362" i="1"/>
  <c r="I362" i="1"/>
  <c r="J362" i="1"/>
  <c r="K362" i="1"/>
  <c r="A363" i="1"/>
  <c r="B363" i="1"/>
  <c r="C363" i="1"/>
  <c r="D363" i="1"/>
  <c r="E363" i="1"/>
  <c r="F363" i="1"/>
  <c r="G363" i="1"/>
  <c r="H363" i="1"/>
  <c r="I363" i="1"/>
  <c r="J363" i="1"/>
  <c r="K363" i="1"/>
  <c r="A364" i="1"/>
  <c r="B364" i="1"/>
  <c r="C364" i="1"/>
  <c r="D364" i="1"/>
  <c r="E364" i="1"/>
  <c r="F364" i="1"/>
  <c r="G364" i="1"/>
  <c r="H364" i="1"/>
  <c r="I364" i="1"/>
  <c r="J364" i="1"/>
  <c r="K364" i="1"/>
  <c r="A365" i="1"/>
  <c r="B365" i="1"/>
  <c r="C365" i="1"/>
  <c r="D365" i="1"/>
  <c r="E365" i="1"/>
  <c r="F365" i="1"/>
  <c r="G365" i="1"/>
  <c r="H365" i="1"/>
  <c r="I365" i="1"/>
  <c r="J365" i="1"/>
  <c r="K365" i="1"/>
  <c r="A366" i="1"/>
  <c r="B366" i="1"/>
  <c r="C366" i="1"/>
  <c r="D366" i="1"/>
  <c r="E366" i="1"/>
  <c r="F366" i="1"/>
  <c r="G366" i="1"/>
  <c r="H366" i="1"/>
  <c r="I366" i="1"/>
  <c r="J366" i="1"/>
  <c r="K366" i="1"/>
  <c r="A367" i="1"/>
  <c r="B367" i="1"/>
  <c r="C367" i="1"/>
  <c r="D367" i="1"/>
  <c r="E367" i="1"/>
  <c r="F367" i="1"/>
  <c r="G367" i="1"/>
  <c r="H367" i="1"/>
  <c r="I367" i="1"/>
  <c r="J367" i="1"/>
  <c r="K367" i="1"/>
  <c r="A368" i="1"/>
  <c r="B368" i="1"/>
  <c r="C368" i="1"/>
  <c r="D368" i="1"/>
  <c r="E368" i="1"/>
  <c r="F368" i="1"/>
  <c r="G368" i="1"/>
  <c r="H368" i="1"/>
  <c r="I368" i="1"/>
  <c r="J368" i="1"/>
  <c r="K368" i="1"/>
  <c r="A369" i="1"/>
  <c r="B369" i="1"/>
  <c r="C369" i="1"/>
  <c r="D369" i="1"/>
  <c r="E369" i="1"/>
  <c r="F369" i="1"/>
  <c r="G369" i="1"/>
  <c r="H369" i="1"/>
  <c r="I369" i="1"/>
  <c r="J369" i="1"/>
  <c r="K369" i="1"/>
  <c r="A370" i="1"/>
  <c r="B370" i="1"/>
  <c r="C370" i="1"/>
  <c r="D370" i="1"/>
  <c r="E370" i="1"/>
  <c r="F370" i="1"/>
  <c r="G370" i="1"/>
  <c r="H370" i="1"/>
  <c r="I370" i="1"/>
  <c r="J370" i="1"/>
  <c r="K370" i="1"/>
  <c r="A371" i="1"/>
  <c r="B371" i="1"/>
  <c r="C371" i="1"/>
  <c r="D371" i="1"/>
  <c r="E371" i="1"/>
  <c r="F371" i="1"/>
  <c r="G371" i="1"/>
  <c r="H371" i="1"/>
  <c r="I371" i="1"/>
  <c r="J371" i="1"/>
  <c r="K371" i="1"/>
  <c r="A372" i="1"/>
  <c r="B372" i="1"/>
  <c r="C372" i="1"/>
  <c r="D372" i="1"/>
  <c r="E372" i="1"/>
  <c r="F372" i="1"/>
  <c r="G372" i="1"/>
  <c r="H372" i="1"/>
  <c r="I372" i="1"/>
  <c r="J372" i="1"/>
  <c r="K372" i="1"/>
  <c r="A373" i="1"/>
  <c r="B373" i="1"/>
  <c r="C373" i="1"/>
  <c r="D373" i="1"/>
  <c r="E373" i="1"/>
  <c r="F373" i="1"/>
  <c r="G373" i="1"/>
  <c r="H373" i="1"/>
  <c r="I373" i="1"/>
  <c r="J373" i="1"/>
  <c r="K373" i="1"/>
  <c r="A374" i="1"/>
  <c r="B374" i="1"/>
  <c r="C374" i="1"/>
  <c r="D374" i="1"/>
  <c r="E374" i="1"/>
  <c r="F374" i="1"/>
  <c r="G374" i="1"/>
  <c r="H374" i="1"/>
  <c r="I374" i="1"/>
  <c r="J374" i="1"/>
  <c r="K374" i="1"/>
  <c r="A375" i="1"/>
  <c r="B375" i="1"/>
  <c r="C375" i="1"/>
  <c r="D375" i="1"/>
  <c r="E375" i="1"/>
  <c r="F375" i="1"/>
  <c r="G375" i="1"/>
  <c r="H375" i="1"/>
  <c r="I375" i="1"/>
  <c r="J375" i="1"/>
  <c r="K375" i="1"/>
  <c r="A376" i="1"/>
  <c r="B376" i="1"/>
  <c r="C376" i="1"/>
  <c r="D376" i="1"/>
  <c r="E376" i="1"/>
  <c r="F376" i="1"/>
  <c r="G376" i="1"/>
  <c r="H376" i="1"/>
  <c r="I376" i="1"/>
  <c r="J376" i="1"/>
  <c r="K376" i="1"/>
  <c r="A377" i="1"/>
  <c r="B377" i="1"/>
  <c r="C377" i="1"/>
  <c r="D377" i="1"/>
  <c r="E377" i="1"/>
  <c r="F377" i="1"/>
  <c r="G377" i="1"/>
  <c r="H377" i="1"/>
  <c r="I377" i="1"/>
  <c r="J377" i="1"/>
  <c r="K377" i="1"/>
  <c r="A378" i="1"/>
  <c r="B378" i="1"/>
  <c r="C378" i="1"/>
  <c r="D378" i="1"/>
  <c r="E378" i="1"/>
  <c r="F378" i="1"/>
  <c r="G378" i="1"/>
  <c r="H378" i="1"/>
  <c r="I378" i="1"/>
  <c r="J378" i="1"/>
  <c r="K378" i="1"/>
  <c r="A379" i="1"/>
  <c r="B379" i="1"/>
  <c r="C379" i="1"/>
  <c r="D379" i="1"/>
  <c r="E379" i="1"/>
  <c r="F379" i="1"/>
  <c r="G379" i="1"/>
  <c r="H379" i="1"/>
  <c r="I379" i="1"/>
  <c r="J379" i="1"/>
  <c r="K379" i="1"/>
  <c r="A380" i="1"/>
  <c r="B380" i="1"/>
  <c r="C380" i="1"/>
  <c r="D380" i="1"/>
  <c r="E380" i="1"/>
  <c r="F380" i="1"/>
  <c r="G380" i="1"/>
  <c r="H380" i="1"/>
  <c r="I380" i="1"/>
  <c r="J380" i="1"/>
  <c r="K380" i="1"/>
  <c r="A381" i="1"/>
  <c r="B381" i="1"/>
  <c r="C381" i="1"/>
  <c r="D381" i="1"/>
  <c r="E381" i="1"/>
  <c r="F381" i="1"/>
  <c r="G381" i="1"/>
  <c r="H381" i="1"/>
  <c r="I381" i="1"/>
  <c r="J381" i="1"/>
  <c r="K381" i="1"/>
  <c r="A382" i="1"/>
  <c r="B382" i="1"/>
  <c r="C382" i="1"/>
  <c r="D382" i="1"/>
  <c r="E382" i="1"/>
  <c r="F382" i="1"/>
  <c r="G382" i="1"/>
  <c r="H382" i="1"/>
  <c r="I382" i="1"/>
  <c r="J382" i="1"/>
  <c r="K382" i="1"/>
  <c r="A383" i="1"/>
  <c r="B383" i="1"/>
  <c r="C383" i="1"/>
  <c r="D383" i="1"/>
  <c r="E383" i="1"/>
  <c r="F383" i="1"/>
  <c r="G383" i="1"/>
  <c r="H383" i="1"/>
  <c r="I383" i="1"/>
  <c r="J383" i="1"/>
  <c r="K383" i="1"/>
  <c r="A384" i="1"/>
  <c r="B384" i="1"/>
  <c r="C384" i="1"/>
  <c r="D384" i="1"/>
  <c r="E384" i="1"/>
  <c r="F384" i="1"/>
  <c r="G384" i="1"/>
  <c r="H384" i="1"/>
  <c r="I384" i="1"/>
  <c r="J384" i="1"/>
  <c r="K384" i="1"/>
  <c r="A385" i="1"/>
  <c r="B385" i="1"/>
  <c r="C385" i="1"/>
  <c r="D385" i="1"/>
  <c r="E385" i="1"/>
  <c r="F385" i="1"/>
  <c r="G385" i="1"/>
  <c r="H385" i="1"/>
  <c r="I385" i="1"/>
  <c r="J385" i="1"/>
  <c r="K385" i="1"/>
  <c r="A386" i="1"/>
  <c r="B386" i="1"/>
  <c r="C386" i="1"/>
  <c r="D386" i="1"/>
  <c r="E386" i="1"/>
  <c r="F386" i="1"/>
  <c r="G386" i="1"/>
  <c r="H386" i="1"/>
  <c r="I386" i="1"/>
  <c r="J386" i="1"/>
  <c r="K386" i="1"/>
  <c r="A387" i="1"/>
  <c r="B387" i="1"/>
  <c r="C387" i="1"/>
  <c r="D387" i="1"/>
  <c r="E387" i="1"/>
  <c r="F387" i="1"/>
  <c r="G387" i="1"/>
  <c r="H387" i="1"/>
  <c r="I387" i="1"/>
  <c r="J387" i="1"/>
  <c r="K387" i="1"/>
  <c r="A388" i="1"/>
  <c r="B388" i="1"/>
  <c r="C388" i="1"/>
  <c r="D388" i="1"/>
  <c r="E388" i="1"/>
  <c r="F388" i="1"/>
  <c r="G388" i="1"/>
  <c r="H388" i="1"/>
  <c r="I388" i="1"/>
  <c r="J388" i="1"/>
  <c r="K388" i="1"/>
  <c r="A389" i="1"/>
  <c r="B389" i="1"/>
  <c r="C389" i="1"/>
  <c r="D389" i="1"/>
  <c r="E389" i="1"/>
  <c r="F389" i="1"/>
  <c r="G389" i="1"/>
  <c r="H389" i="1"/>
  <c r="I389" i="1"/>
  <c r="J389" i="1"/>
  <c r="K389" i="1"/>
  <c r="A390" i="1"/>
  <c r="B390" i="1"/>
  <c r="C390" i="1"/>
  <c r="D390" i="1"/>
  <c r="E390" i="1"/>
  <c r="F390" i="1"/>
  <c r="G390" i="1"/>
  <c r="H390" i="1"/>
  <c r="I390" i="1"/>
  <c r="J390" i="1"/>
  <c r="K390" i="1"/>
  <c r="A391" i="1"/>
  <c r="B391" i="1"/>
  <c r="C391" i="1"/>
  <c r="D391" i="1"/>
  <c r="E391" i="1"/>
  <c r="F391" i="1"/>
  <c r="G391" i="1"/>
  <c r="H391" i="1"/>
  <c r="I391" i="1"/>
  <c r="J391" i="1"/>
  <c r="K391" i="1"/>
  <c r="A392" i="1"/>
  <c r="B392" i="1"/>
  <c r="C392" i="1"/>
  <c r="D392" i="1"/>
  <c r="E392" i="1"/>
  <c r="F392" i="1"/>
  <c r="G392" i="1"/>
  <c r="H392" i="1"/>
  <c r="I392" i="1"/>
  <c r="J392" i="1"/>
  <c r="K392" i="1"/>
  <c r="A393" i="1"/>
  <c r="B393" i="1"/>
  <c r="C393" i="1"/>
  <c r="D393" i="1"/>
  <c r="E393" i="1"/>
  <c r="F393" i="1"/>
  <c r="G393" i="1"/>
  <c r="H393" i="1"/>
  <c r="I393" i="1"/>
  <c r="J393" i="1"/>
  <c r="K393" i="1"/>
  <c r="A394" i="1"/>
  <c r="B394" i="1"/>
  <c r="C394" i="1"/>
  <c r="D394" i="1"/>
  <c r="E394" i="1"/>
  <c r="F394" i="1"/>
  <c r="G394" i="1"/>
  <c r="H394" i="1"/>
  <c r="I394" i="1"/>
  <c r="J394" i="1"/>
  <c r="K394" i="1"/>
  <c r="A395" i="1"/>
  <c r="B395" i="1"/>
  <c r="C395" i="1"/>
  <c r="D395" i="1"/>
  <c r="E395" i="1"/>
  <c r="F395" i="1"/>
  <c r="G395" i="1"/>
  <c r="H395" i="1"/>
  <c r="I395" i="1"/>
  <c r="J395" i="1"/>
  <c r="K395" i="1"/>
  <c r="A396" i="1"/>
  <c r="B396" i="1"/>
  <c r="C396" i="1"/>
  <c r="D396" i="1"/>
  <c r="E396" i="1"/>
  <c r="F396" i="1"/>
  <c r="G396" i="1"/>
  <c r="H396" i="1"/>
  <c r="I396" i="1"/>
  <c r="J396" i="1"/>
  <c r="K396" i="1"/>
  <c r="A397" i="1"/>
  <c r="B397" i="1"/>
  <c r="C397" i="1"/>
  <c r="D397" i="1"/>
  <c r="E397" i="1"/>
  <c r="F397" i="1"/>
  <c r="G397" i="1"/>
  <c r="H397" i="1"/>
  <c r="I397" i="1"/>
  <c r="J397" i="1"/>
  <c r="K397" i="1"/>
  <c r="A398" i="1"/>
  <c r="B398" i="1"/>
  <c r="C398" i="1"/>
  <c r="D398" i="1"/>
  <c r="E398" i="1"/>
  <c r="F398" i="1"/>
  <c r="G398" i="1"/>
  <c r="H398" i="1"/>
  <c r="I398" i="1"/>
  <c r="J398" i="1"/>
  <c r="K398" i="1"/>
  <c r="A399" i="1"/>
  <c r="B399" i="1"/>
  <c r="C399" i="1"/>
  <c r="D399" i="1"/>
  <c r="E399" i="1"/>
  <c r="F399" i="1"/>
  <c r="G399" i="1"/>
  <c r="H399" i="1"/>
  <c r="I399" i="1"/>
  <c r="J399" i="1"/>
  <c r="K399" i="1"/>
  <c r="A400" i="1"/>
  <c r="B400" i="1"/>
  <c r="C400" i="1"/>
  <c r="D400" i="1"/>
  <c r="E400" i="1"/>
  <c r="F400" i="1"/>
  <c r="G400" i="1"/>
  <c r="H400" i="1"/>
  <c r="I400" i="1"/>
  <c r="J400" i="1"/>
  <c r="K400" i="1"/>
  <c r="A401" i="1"/>
  <c r="B401" i="1"/>
  <c r="C401" i="1"/>
  <c r="D401" i="1"/>
  <c r="E401" i="1"/>
  <c r="F401" i="1"/>
  <c r="G401" i="1"/>
  <c r="H401" i="1"/>
  <c r="I401" i="1"/>
  <c r="J401" i="1"/>
  <c r="K401" i="1"/>
  <c r="A402" i="1"/>
  <c r="B402" i="1"/>
  <c r="C402" i="1"/>
  <c r="D402" i="1"/>
  <c r="E402" i="1"/>
  <c r="F402" i="1"/>
  <c r="G402" i="1"/>
  <c r="H402" i="1"/>
  <c r="I402" i="1"/>
  <c r="J402" i="1"/>
  <c r="K402" i="1"/>
  <c r="A403" i="1"/>
  <c r="B403" i="1"/>
  <c r="C403" i="1"/>
  <c r="D403" i="1"/>
  <c r="E403" i="1"/>
  <c r="F403" i="1"/>
  <c r="G403" i="1"/>
  <c r="H403" i="1"/>
  <c r="I403" i="1"/>
  <c r="J403" i="1"/>
  <c r="K403" i="1"/>
  <c r="A404" i="1"/>
  <c r="B404" i="1"/>
  <c r="C404" i="1"/>
  <c r="D404" i="1"/>
  <c r="E404" i="1"/>
  <c r="F404" i="1"/>
  <c r="G404" i="1"/>
  <c r="H404" i="1"/>
  <c r="I404" i="1"/>
  <c r="J404" i="1"/>
  <c r="K404" i="1"/>
  <c r="A405" i="1"/>
  <c r="B405" i="1"/>
  <c r="C405" i="1"/>
  <c r="D405" i="1"/>
  <c r="E405" i="1"/>
  <c r="F405" i="1"/>
  <c r="G405" i="1"/>
  <c r="H405" i="1"/>
  <c r="I405" i="1"/>
  <c r="J405" i="1"/>
  <c r="K405" i="1"/>
  <c r="A406" i="1"/>
  <c r="B406" i="1"/>
  <c r="C406" i="1"/>
  <c r="D406" i="1"/>
  <c r="E406" i="1"/>
  <c r="F406" i="1"/>
  <c r="G406" i="1"/>
  <c r="H406" i="1"/>
  <c r="I406" i="1"/>
  <c r="J406" i="1"/>
  <c r="K406" i="1"/>
  <c r="A407" i="1"/>
  <c r="B407" i="1"/>
  <c r="C407" i="1"/>
  <c r="D407" i="1"/>
  <c r="E407" i="1"/>
  <c r="F407" i="1"/>
  <c r="G407" i="1"/>
  <c r="H407" i="1"/>
  <c r="I407" i="1"/>
  <c r="J407" i="1"/>
  <c r="K407" i="1"/>
  <c r="A408" i="1"/>
  <c r="B408" i="1"/>
  <c r="C408" i="1"/>
  <c r="D408" i="1"/>
  <c r="E408" i="1"/>
  <c r="F408" i="1"/>
  <c r="G408" i="1"/>
  <c r="H408" i="1"/>
  <c r="I408" i="1"/>
  <c r="J408" i="1"/>
  <c r="K408" i="1"/>
  <c r="A409" i="1"/>
  <c r="B409" i="1"/>
  <c r="C409" i="1"/>
  <c r="D409" i="1"/>
  <c r="E409" i="1"/>
  <c r="F409" i="1"/>
  <c r="G409" i="1"/>
  <c r="H409" i="1"/>
  <c r="I409" i="1"/>
  <c r="J409" i="1"/>
  <c r="K409" i="1"/>
  <c r="A410" i="1"/>
  <c r="B410" i="1"/>
  <c r="C410" i="1"/>
  <c r="D410" i="1"/>
  <c r="E410" i="1"/>
  <c r="F410" i="1"/>
  <c r="G410" i="1"/>
  <c r="H410" i="1"/>
  <c r="I410" i="1"/>
  <c r="J410" i="1"/>
  <c r="K410" i="1"/>
  <c r="A411" i="1"/>
  <c r="B411" i="1"/>
  <c r="C411" i="1"/>
  <c r="D411" i="1"/>
  <c r="E411" i="1"/>
  <c r="F411" i="1"/>
  <c r="G411" i="1"/>
  <c r="H411" i="1"/>
  <c r="I411" i="1"/>
  <c r="J411" i="1"/>
  <c r="K411" i="1"/>
  <c r="A412" i="1"/>
  <c r="B412" i="1"/>
  <c r="C412" i="1"/>
  <c r="D412" i="1"/>
  <c r="E412" i="1"/>
  <c r="F412" i="1"/>
  <c r="G412" i="1"/>
  <c r="H412" i="1"/>
  <c r="I412" i="1"/>
  <c r="J412" i="1"/>
  <c r="K412" i="1"/>
  <c r="A413" i="1"/>
  <c r="B413" i="1"/>
  <c r="C413" i="1"/>
  <c r="D413" i="1"/>
  <c r="E413" i="1"/>
  <c r="F413" i="1"/>
  <c r="G413" i="1"/>
  <c r="H413" i="1"/>
  <c r="I413" i="1"/>
  <c r="J413" i="1"/>
  <c r="K413" i="1"/>
  <c r="A414" i="1"/>
  <c r="B414" i="1"/>
  <c r="C414" i="1"/>
  <c r="D414" i="1"/>
  <c r="E414" i="1"/>
  <c r="F414" i="1"/>
  <c r="G414" i="1"/>
  <c r="H414" i="1"/>
  <c r="I414" i="1"/>
  <c r="J414" i="1"/>
  <c r="K414" i="1"/>
  <c r="A415" i="1"/>
  <c r="B415" i="1"/>
  <c r="C415" i="1"/>
  <c r="D415" i="1"/>
  <c r="E415" i="1"/>
  <c r="F415" i="1"/>
  <c r="G415" i="1"/>
  <c r="H415" i="1"/>
  <c r="I415" i="1"/>
  <c r="J415" i="1"/>
  <c r="K415" i="1"/>
  <c r="A416" i="1"/>
  <c r="B416" i="1"/>
  <c r="C416" i="1"/>
  <c r="D416" i="1"/>
  <c r="E416" i="1"/>
  <c r="F416" i="1"/>
  <c r="G416" i="1"/>
  <c r="H416" i="1"/>
  <c r="I416" i="1"/>
  <c r="J416" i="1"/>
  <c r="K416" i="1"/>
  <c r="A417" i="1"/>
  <c r="B417" i="1"/>
  <c r="C417" i="1"/>
  <c r="D417" i="1"/>
  <c r="E417" i="1"/>
  <c r="F417" i="1"/>
  <c r="G417" i="1"/>
  <c r="H417" i="1"/>
  <c r="I417" i="1"/>
  <c r="J417" i="1"/>
  <c r="K417" i="1"/>
  <c r="A418" i="1"/>
  <c r="B418" i="1"/>
  <c r="C418" i="1"/>
  <c r="D418" i="1"/>
  <c r="E418" i="1"/>
  <c r="F418" i="1"/>
  <c r="G418" i="1"/>
  <c r="H418" i="1"/>
  <c r="I418" i="1"/>
  <c r="J418" i="1"/>
  <c r="K418" i="1"/>
  <c r="A419" i="1"/>
  <c r="B419" i="1"/>
  <c r="C419" i="1"/>
  <c r="D419" i="1"/>
  <c r="E419" i="1"/>
  <c r="F419" i="1"/>
  <c r="G419" i="1"/>
  <c r="H419" i="1"/>
  <c r="I419" i="1"/>
  <c r="J419" i="1"/>
  <c r="K419" i="1"/>
  <c r="A420" i="1"/>
  <c r="B420" i="1"/>
  <c r="C420" i="1"/>
  <c r="D420" i="1"/>
  <c r="E420" i="1"/>
  <c r="F420" i="1"/>
  <c r="G420" i="1"/>
  <c r="H420" i="1"/>
  <c r="I420" i="1"/>
  <c r="J420" i="1"/>
  <c r="K420" i="1"/>
  <c r="A421" i="1"/>
  <c r="B421" i="1"/>
  <c r="C421" i="1"/>
  <c r="D421" i="1"/>
  <c r="E421" i="1"/>
  <c r="F421" i="1"/>
  <c r="G421" i="1"/>
  <c r="H421" i="1"/>
  <c r="I421" i="1"/>
  <c r="J421" i="1"/>
  <c r="K421" i="1"/>
  <c r="A422" i="1"/>
  <c r="B422" i="1"/>
  <c r="C422" i="1"/>
  <c r="D422" i="1"/>
  <c r="E422" i="1"/>
  <c r="F422" i="1"/>
  <c r="G422" i="1"/>
  <c r="H422" i="1"/>
  <c r="I422" i="1"/>
  <c r="J422" i="1"/>
  <c r="K422" i="1"/>
  <c r="A423" i="1"/>
  <c r="B423" i="1"/>
  <c r="C423" i="1"/>
  <c r="D423" i="1"/>
  <c r="E423" i="1"/>
  <c r="F423" i="1"/>
  <c r="G423" i="1"/>
  <c r="H423" i="1"/>
  <c r="I423" i="1"/>
  <c r="J423" i="1"/>
  <c r="K423" i="1"/>
  <c r="A424" i="1"/>
  <c r="B424" i="1"/>
  <c r="C424" i="1"/>
  <c r="D424" i="1"/>
  <c r="E424" i="1"/>
  <c r="F424" i="1"/>
  <c r="G424" i="1"/>
  <c r="H424" i="1"/>
  <c r="I424" i="1"/>
  <c r="J424" i="1"/>
  <c r="K424" i="1"/>
  <c r="A425" i="1"/>
  <c r="B425" i="1"/>
  <c r="C425" i="1"/>
  <c r="D425" i="1"/>
  <c r="E425" i="1"/>
  <c r="F425" i="1"/>
  <c r="G425" i="1"/>
  <c r="H425" i="1"/>
  <c r="I425" i="1"/>
  <c r="J425" i="1"/>
  <c r="K425" i="1"/>
  <c r="A426" i="1"/>
  <c r="B426" i="1"/>
  <c r="C426" i="1"/>
  <c r="D426" i="1"/>
  <c r="E426" i="1"/>
  <c r="F426" i="1"/>
  <c r="G426" i="1"/>
  <c r="H426" i="1"/>
  <c r="I426" i="1"/>
  <c r="J426" i="1"/>
  <c r="K426" i="1"/>
  <c r="A427" i="1"/>
  <c r="B427" i="1"/>
  <c r="C427" i="1"/>
  <c r="D427" i="1"/>
  <c r="E427" i="1"/>
  <c r="F427" i="1"/>
  <c r="G427" i="1"/>
  <c r="H427" i="1"/>
  <c r="I427" i="1"/>
  <c r="J427" i="1"/>
  <c r="K427" i="1"/>
  <c r="A428" i="1"/>
  <c r="B428" i="1"/>
  <c r="C428" i="1"/>
  <c r="D428" i="1"/>
  <c r="E428" i="1"/>
  <c r="F428" i="1"/>
  <c r="G428" i="1"/>
  <c r="H428" i="1"/>
  <c r="I428" i="1"/>
  <c r="J428" i="1"/>
  <c r="K428" i="1"/>
  <c r="A429" i="1"/>
  <c r="B429" i="1"/>
  <c r="C429" i="1"/>
  <c r="D429" i="1"/>
  <c r="E429" i="1"/>
  <c r="F429" i="1"/>
  <c r="G429" i="1"/>
  <c r="H429" i="1"/>
  <c r="I429" i="1"/>
  <c r="J429" i="1"/>
  <c r="K429" i="1"/>
  <c r="A430" i="1"/>
  <c r="B430" i="1"/>
  <c r="C430" i="1"/>
  <c r="D430" i="1"/>
  <c r="E430" i="1"/>
  <c r="F430" i="1"/>
  <c r="G430" i="1"/>
  <c r="H430" i="1"/>
  <c r="I430" i="1"/>
  <c r="J430" i="1"/>
  <c r="K430" i="1"/>
  <c r="A431" i="1"/>
  <c r="B431" i="1"/>
  <c r="C431" i="1"/>
  <c r="D431" i="1"/>
  <c r="E431" i="1"/>
  <c r="F431" i="1"/>
  <c r="G431" i="1"/>
  <c r="H431" i="1"/>
  <c r="I431" i="1"/>
  <c r="J431" i="1"/>
  <c r="K431" i="1"/>
  <c r="A432" i="1"/>
  <c r="B432" i="1"/>
  <c r="C432" i="1"/>
  <c r="D432" i="1"/>
  <c r="E432" i="1"/>
  <c r="F432" i="1"/>
  <c r="G432" i="1"/>
  <c r="H432" i="1"/>
  <c r="I432" i="1"/>
  <c r="J432" i="1"/>
  <c r="K432" i="1"/>
  <c r="A433" i="1"/>
  <c r="B433" i="1"/>
  <c r="C433" i="1"/>
  <c r="D433" i="1"/>
  <c r="E433" i="1"/>
  <c r="F433" i="1"/>
  <c r="G433" i="1"/>
  <c r="H433" i="1"/>
  <c r="I433" i="1"/>
  <c r="J433" i="1"/>
  <c r="K433" i="1"/>
  <c r="A434" i="1"/>
  <c r="B434" i="1"/>
  <c r="C434" i="1"/>
  <c r="D434" i="1"/>
  <c r="E434" i="1"/>
  <c r="F434" i="1"/>
  <c r="G434" i="1"/>
  <c r="H434" i="1"/>
  <c r="I434" i="1"/>
  <c r="J434" i="1"/>
  <c r="K434" i="1"/>
  <c r="A435" i="1"/>
  <c r="B435" i="1"/>
  <c r="C435" i="1"/>
  <c r="D435" i="1"/>
  <c r="E435" i="1"/>
  <c r="F435" i="1"/>
  <c r="G435" i="1"/>
  <c r="H435" i="1"/>
  <c r="I435" i="1"/>
  <c r="J435" i="1"/>
  <c r="K435" i="1"/>
  <c r="A436" i="1"/>
  <c r="B436" i="1"/>
  <c r="C436" i="1"/>
  <c r="D436" i="1"/>
  <c r="E436" i="1"/>
  <c r="F436" i="1"/>
  <c r="G436" i="1"/>
  <c r="H436" i="1"/>
  <c r="I436" i="1"/>
  <c r="J436" i="1"/>
  <c r="K436" i="1"/>
  <c r="A437" i="1"/>
  <c r="B437" i="1"/>
  <c r="C437" i="1"/>
  <c r="D437" i="1"/>
  <c r="E437" i="1"/>
  <c r="F437" i="1"/>
  <c r="G437" i="1"/>
  <c r="H437" i="1"/>
  <c r="I437" i="1"/>
  <c r="J437" i="1"/>
  <c r="K437" i="1"/>
  <c r="A438" i="1"/>
  <c r="B438" i="1"/>
  <c r="C438" i="1"/>
  <c r="D438" i="1"/>
  <c r="E438" i="1"/>
  <c r="F438" i="1"/>
  <c r="G438" i="1"/>
  <c r="H438" i="1"/>
  <c r="I438" i="1"/>
  <c r="J438" i="1"/>
  <c r="K438" i="1"/>
  <c r="A439" i="1"/>
  <c r="B439" i="1"/>
  <c r="C439" i="1"/>
  <c r="D439" i="1"/>
  <c r="E439" i="1"/>
  <c r="F439" i="1"/>
  <c r="G439" i="1"/>
  <c r="H439" i="1"/>
  <c r="I439" i="1"/>
  <c r="J439" i="1"/>
  <c r="K439" i="1"/>
  <c r="A440" i="1"/>
  <c r="B440" i="1"/>
  <c r="C440" i="1"/>
  <c r="D440" i="1"/>
  <c r="E440" i="1"/>
  <c r="F440" i="1"/>
  <c r="G440" i="1"/>
  <c r="H440" i="1"/>
  <c r="I440" i="1"/>
  <c r="J440" i="1"/>
  <c r="K440" i="1"/>
  <c r="A441" i="1"/>
  <c r="B441" i="1"/>
  <c r="C441" i="1"/>
  <c r="D441" i="1"/>
  <c r="E441" i="1"/>
  <c r="F441" i="1"/>
  <c r="G441" i="1"/>
  <c r="H441" i="1"/>
  <c r="I441" i="1"/>
  <c r="J441" i="1"/>
  <c r="K441" i="1"/>
  <c r="A442" i="1"/>
  <c r="B442" i="1"/>
  <c r="C442" i="1"/>
  <c r="D442" i="1"/>
  <c r="E442" i="1"/>
  <c r="F442" i="1"/>
  <c r="G442" i="1"/>
  <c r="H442" i="1"/>
  <c r="I442" i="1"/>
  <c r="J442" i="1"/>
  <c r="K442" i="1"/>
  <c r="A443" i="1"/>
  <c r="B443" i="1"/>
  <c r="C443" i="1"/>
  <c r="D443" i="1"/>
  <c r="E443" i="1"/>
  <c r="F443" i="1"/>
  <c r="G443" i="1"/>
  <c r="H443" i="1"/>
  <c r="I443" i="1"/>
  <c r="J443" i="1"/>
  <c r="K443" i="1"/>
  <c r="A444" i="1"/>
  <c r="B444" i="1"/>
  <c r="C444" i="1"/>
  <c r="D444" i="1"/>
  <c r="E444" i="1"/>
  <c r="F444" i="1"/>
  <c r="G444" i="1"/>
  <c r="H444" i="1"/>
  <c r="I444" i="1"/>
  <c r="J444" i="1"/>
  <c r="K444" i="1"/>
  <c r="A445" i="1"/>
  <c r="B445" i="1"/>
  <c r="C445" i="1"/>
  <c r="D445" i="1"/>
  <c r="E445" i="1"/>
  <c r="F445" i="1"/>
  <c r="G445" i="1"/>
  <c r="H445" i="1"/>
  <c r="I445" i="1"/>
  <c r="J445" i="1"/>
  <c r="K445" i="1"/>
  <c r="A446" i="1"/>
  <c r="B446" i="1"/>
  <c r="C446" i="1"/>
  <c r="D446" i="1"/>
  <c r="E446" i="1"/>
  <c r="F446" i="1"/>
  <c r="G446" i="1"/>
  <c r="H446" i="1"/>
  <c r="I446" i="1"/>
  <c r="J446" i="1"/>
  <c r="K446" i="1"/>
  <c r="A447" i="1"/>
  <c r="B447" i="1"/>
  <c r="C447" i="1"/>
  <c r="D447" i="1"/>
  <c r="E447" i="1"/>
  <c r="F447" i="1"/>
  <c r="G447" i="1"/>
  <c r="H447" i="1"/>
  <c r="I447" i="1"/>
  <c r="J447" i="1"/>
  <c r="K447" i="1"/>
  <c r="A448" i="1"/>
  <c r="B448" i="1"/>
  <c r="C448" i="1"/>
  <c r="D448" i="1"/>
  <c r="E448" i="1"/>
  <c r="F448" i="1"/>
  <c r="G448" i="1"/>
  <c r="H448" i="1"/>
  <c r="I448" i="1"/>
  <c r="J448" i="1"/>
  <c r="K448" i="1"/>
  <c r="A449" i="1"/>
  <c r="B449" i="1"/>
  <c r="C449" i="1"/>
  <c r="D449" i="1"/>
  <c r="E449" i="1"/>
  <c r="F449" i="1"/>
  <c r="G449" i="1"/>
  <c r="H449" i="1"/>
  <c r="I449" i="1"/>
  <c r="J449" i="1"/>
  <c r="K449" i="1"/>
  <c r="A450" i="1"/>
  <c r="B450" i="1"/>
  <c r="C450" i="1"/>
  <c r="D450" i="1"/>
  <c r="E450" i="1"/>
  <c r="F450" i="1"/>
  <c r="G450" i="1"/>
  <c r="H450" i="1"/>
  <c r="I450" i="1"/>
  <c r="J450" i="1"/>
  <c r="K450" i="1"/>
  <c r="A451" i="1"/>
  <c r="B451" i="1"/>
  <c r="C451" i="1"/>
  <c r="D451" i="1"/>
  <c r="E451" i="1"/>
  <c r="F451" i="1"/>
  <c r="G451" i="1"/>
  <c r="H451" i="1"/>
  <c r="I451" i="1"/>
  <c r="J451" i="1"/>
  <c r="K451" i="1"/>
  <c r="A452" i="1"/>
  <c r="B452" i="1"/>
  <c r="C452" i="1"/>
  <c r="D452" i="1"/>
  <c r="E452" i="1"/>
  <c r="F452" i="1"/>
  <c r="G452" i="1"/>
  <c r="H452" i="1"/>
  <c r="I452" i="1"/>
  <c r="J452" i="1"/>
  <c r="K452" i="1"/>
  <c r="A453" i="1"/>
  <c r="B453" i="1"/>
  <c r="C453" i="1"/>
  <c r="D453" i="1"/>
  <c r="E453" i="1"/>
  <c r="F453" i="1"/>
  <c r="G453" i="1"/>
  <c r="H453" i="1"/>
  <c r="I453" i="1"/>
  <c r="J453" i="1"/>
  <c r="K453" i="1"/>
  <c r="A454" i="1"/>
  <c r="B454" i="1"/>
  <c r="C454" i="1"/>
  <c r="D454" i="1"/>
  <c r="E454" i="1"/>
  <c r="F454" i="1"/>
  <c r="G454" i="1"/>
  <c r="H454" i="1"/>
  <c r="I454" i="1"/>
  <c r="J454" i="1"/>
  <c r="K454" i="1"/>
  <c r="A455" i="1"/>
  <c r="B455" i="1"/>
  <c r="C455" i="1"/>
  <c r="D455" i="1"/>
  <c r="E455" i="1"/>
  <c r="F455" i="1"/>
  <c r="G455" i="1"/>
  <c r="H455" i="1"/>
  <c r="I455" i="1"/>
  <c r="J455" i="1"/>
  <c r="K455" i="1"/>
  <c r="A456" i="1"/>
  <c r="B456" i="1"/>
  <c r="C456" i="1"/>
  <c r="D456" i="1"/>
  <c r="E456" i="1"/>
  <c r="F456" i="1"/>
  <c r="G456" i="1"/>
  <c r="H456" i="1"/>
  <c r="I456" i="1"/>
  <c r="J456" i="1"/>
  <c r="K456" i="1"/>
  <c r="A457" i="1"/>
  <c r="B457" i="1"/>
  <c r="C457" i="1"/>
  <c r="D457" i="1"/>
  <c r="E457" i="1"/>
  <c r="F457" i="1"/>
  <c r="G457" i="1"/>
  <c r="H457" i="1"/>
  <c r="I457" i="1"/>
  <c r="J457" i="1"/>
  <c r="K457" i="1"/>
  <c r="A458" i="1"/>
  <c r="B458" i="1"/>
  <c r="C458" i="1"/>
  <c r="D458" i="1"/>
  <c r="E458" i="1"/>
  <c r="F458" i="1"/>
  <c r="G458" i="1"/>
  <c r="H458" i="1"/>
  <c r="I458" i="1"/>
  <c r="J458" i="1"/>
  <c r="K458" i="1"/>
  <c r="A459" i="1"/>
  <c r="B459" i="1"/>
  <c r="C459" i="1"/>
  <c r="D459" i="1"/>
  <c r="E459" i="1"/>
  <c r="F459" i="1"/>
  <c r="G459" i="1"/>
  <c r="H459" i="1"/>
  <c r="I459" i="1"/>
  <c r="J459" i="1"/>
  <c r="K459" i="1"/>
  <c r="A460" i="1"/>
  <c r="B460" i="1"/>
  <c r="C460" i="1"/>
  <c r="D460" i="1"/>
  <c r="E460" i="1"/>
  <c r="F460" i="1"/>
  <c r="G460" i="1"/>
  <c r="H460" i="1"/>
  <c r="I460" i="1"/>
  <c r="J460" i="1"/>
  <c r="K460" i="1"/>
  <c r="A461" i="1"/>
  <c r="B461" i="1"/>
  <c r="C461" i="1"/>
  <c r="D461" i="1"/>
  <c r="E461" i="1"/>
  <c r="F461" i="1"/>
  <c r="G461" i="1"/>
  <c r="H461" i="1"/>
  <c r="I461" i="1"/>
  <c r="J461" i="1"/>
  <c r="K461" i="1"/>
  <c r="A462" i="1"/>
  <c r="B462" i="1"/>
  <c r="C462" i="1"/>
  <c r="D462" i="1"/>
  <c r="E462" i="1"/>
  <c r="F462" i="1"/>
  <c r="G462" i="1"/>
  <c r="H462" i="1"/>
  <c r="I462" i="1"/>
  <c r="J462" i="1"/>
  <c r="K462" i="1"/>
  <c r="A463" i="1"/>
  <c r="B463" i="1"/>
  <c r="C463" i="1"/>
  <c r="D463" i="1"/>
  <c r="E463" i="1"/>
  <c r="F463" i="1"/>
  <c r="G463" i="1"/>
  <c r="H463" i="1"/>
  <c r="I463" i="1"/>
  <c r="J463" i="1"/>
  <c r="K463" i="1"/>
  <c r="A464" i="1"/>
  <c r="B464" i="1"/>
  <c r="C464" i="1"/>
  <c r="D464" i="1"/>
  <c r="E464" i="1"/>
  <c r="F464" i="1"/>
  <c r="G464" i="1"/>
  <c r="H464" i="1"/>
  <c r="I464" i="1"/>
  <c r="J464" i="1"/>
  <c r="K464" i="1"/>
  <c r="A465" i="1"/>
  <c r="B465" i="1"/>
  <c r="C465" i="1"/>
  <c r="D465" i="1"/>
  <c r="E465" i="1"/>
  <c r="F465" i="1"/>
  <c r="G465" i="1"/>
  <c r="H465" i="1"/>
  <c r="I465" i="1"/>
  <c r="J465" i="1"/>
  <c r="K465" i="1"/>
  <c r="A466" i="1"/>
  <c r="B466" i="1"/>
  <c r="C466" i="1"/>
  <c r="D466" i="1"/>
  <c r="E466" i="1"/>
  <c r="F466" i="1"/>
  <c r="G466" i="1"/>
  <c r="H466" i="1"/>
  <c r="I466" i="1"/>
  <c r="J466" i="1"/>
  <c r="K466" i="1"/>
  <c r="A467" i="1"/>
  <c r="B467" i="1"/>
  <c r="C467" i="1"/>
  <c r="D467" i="1"/>
  <c r="E467" i="1"/>
  <c r="F467" i="1"/>
  <c r="G467" i="1"/>
  <c r="H467" i="1"/>
  <c r="I467" i="1"/>
  <c r="J467" i="1"/>
  <c r="K467" i="1"/>
  <c r="A468" i="1"/>
  <c r="B468" i="1"/>
  <c r="C468" i="1"/>
  <c r="D468" i="1"/>
  <c r="E468" i="1"/>
  <c r="F468" i="1"/>
  <c r="G468" i="1"/>
  <c r="H468" i="1"/>
  <c r="I468" i="1"/>
  <c r="J468" i="1"/>
  <c r="K468" i="1"/>
  <c r="A469" i="1"/>
  <c r="B469" i="1"/>
  <c r="C469" i="1"/>
  <c r="D469" i="1"/>
  <c r="E469" i="1"/>
  <c r="F469" i="1"/>
  <c r="G469" i="1"/>
  <c r="H469" i="1"/>
  <c r="I469" i="1"/>
  <c r="J469" i="1"/>
  <c r="K469" i="1"/>
  <c r="A470" i="1"/>
  <c r="B470" i="1"/>
  <c r="C470" i="1"/>
  <c r="D470" i="1"/>
  <c r="E470" i="1"/>
  <c r="F470" i="1"/>
  <c r="G470" i="1"/>
  <c r="H470" i="1"/>
  <c r="I470" i="1"/>
  <c r="J470" i="1"/>
  <c r="K470" i="1"/>
  <c r="A471" i="1"/>
  <c r="B471" i="1"/>
  <c r="C471" i="1"/>
  <c r="D471" i="1"/>
  <c r="E471" i="1"/>
  <c r="F471" i="1"/>
  <c r="G471" i="1"/>
  <c r="H471" i="1"/>
  <c r="I471" i="1"/>
  <c r="J471" i="1"/>
  <c r="K471" i="1"/>
  <c r="A472" i="1"/>
  <c r="B472" i="1"/>
  <c r="C472" i="1"/>
  <c r="D472" i="1"/>
  <c r="E472" i="1"/>
  <c r="F472" i="1"/>
  <c r="G472" i="1"/>
  <c r="H472" i="1"/>
  <c r="I472" i="1"/>
  <c r="J472" i="1"/>
  <c r="K472" i="1"/>
  <c r="A473" i="1"/>
  <c r="B473" i="1"/>
  <c r="C473" i="1"/>
  <c r="D473" i="1"/>
  <c r="E473" i="1"/>
  <c r="F473" i="1"/>
  <c r="G473" i="1"/>
  <c r="H473" i="1"/>
  <c r="I473" i="1"/>
  <c r="J473" i="1"/>
  <c r="K473" i="1"/>
  <c r="A474" i="1"/>
  <c r="B474" i="1"/>
  <c r="C474" i="1"/>
  <c r="D474" i="1"/>
  <c r="E474" i="1"/>
  <c r="F474" i="1"/>
  <c r="G474" i="1"/>
  <c r="H474" i="1"/>
  <c r="I474" i="1"/>
  <c r="J474" i="1"/>
  <c r="K474" i="1"/>
  <c r="A475" i="1"/>
  <c r="B475" i="1"/>
  <c r="C475" i="1"/>
  <c r="D475" i="1"/>
  <c r="E475" i="1"/>
  <c r="F475" i="1"/>
  <c r="G475" i="1"/>
  <c r="H475" i="1"/>
  <c r="I475" i="1"/>
  <c r="J475" i="1"/>
  <c r="K475" i="1"/>
  <c r="A476" i="1"/>
  <c r="B476" i="1"/>
  <c r="C476" i="1"/>
  <c r="D476" i="1"/>
  <c r="E476" i="1"/>
  <c r="F476" i="1"/>
  <c r="G476" i="1"/>
  <c r="H476" i="1"/>
  <c r="I476" i="1"/>
  <c r="J476" i="1"/>
  <c r="K476" i="1"/>
  <c r="A477" i="1"/>
  <c r="B477" i="1"/>
  <c r="C477" i="1"/>
  <c r="D477" i="1"/>
  <c r="E477" i="1"/>
  <c r="F477" i="1"/>
  <c r="G477" i="1"/>
  <c r="H477" i="1"/>
  <c r="I477" i="1"/>
  <c r="J477" i="1"/>
  <c r="K477" i="1"/>
  <c r="A478" i="1"/>
  <c r="B478" i="1"/>
  <c r="C478" i="1"/>
  <c r="D478" i="1"/>
  <c r="E478" i="1"/>
  <c r="F478" i="1"/>
  <c r="G478" i="1"/>
  <c r="H478" i="1"/>
  <c r="I478" i="1"/>
  <c r="J478" i="1"/>
  <c r="K478" i="1"/>
  <c r="A479" i="1"/>
  <c r="B479" i="1"/>
  <c r="C479" i="1"/>
  <c r="D479" i="1"/>
  <c r="E479" i="1"/>
  <c r="F479" i="1"/>
  <c r="G479" i="1"/>
  <c r="H479" i="1"/>
  <c r="I479" i="1"/>
  <c r="J479" i="1"/>
  <c r="K479" i="1"/>
  <c r="A480" i="1"/>
  <c r="B480" i="1"/>
  <c r="C480" i="1"/>
  <c r="D480" i="1"/>
  <c r="E480" i="1"/>
  <c r="F480" i="1"/>
  <c r="G480" i="1"/>
  <c r="H480" i="1"/>
  <c r="I480" i="1"/>
  <c r="J480" i="1"/>
  <c r="K480" i="1"/>
  <c r="A481" i="1"/>
  <c r="B481" i="1"/>
  <c r="C481" i="1"/>
  <c r="D481" i="1"/>
  <c r="E481" i="1"/>
  <c r="F481" i="1"/>
  <c r="G481" i="1"/>
  <c r="H481" i="1"/>
  <c r="I481" i="1"/>
  <c r="J481" i="1"/>
  <c r="K481" i="1"/>
  <c r="A482" i="1"/>
  <c r="B482" i="1"/>
  <c r="C482" i="1"/>
  <c r="D482" i="1"/>
  <c r="E482" i="1"/>
  <c r="F482" i="1"/>
  <c r="G482" i="1"/>
  <c r="H482" i="1"/>
  <c r="I482" i="1"/>
  <c r="J482" i="1"/>
  <c r="K482" i="1"/>
  <c r="A483" i="1"/>
  <c r="B483" i="1"/>
  <c r="C483" i="1"/>
  <c r="D483" i="1"/>
  <c r="E483" i="1"/>
  <c r="F483" i="1"/>
  <c r="G483" i="1"/>
  <c r="H483" i="1"/>
  <c r="I483" i="1"/>
  <c r="J483" i="1"/>
  <c r="K483" i="1"/>
  <c r="A484" i="1"/>
  <c r="B484" i="1"/>
  <c r="C484" i="1"/>
  <c r="D484" i="1"/>
  <c r="E484" i="1"/>
  <c r="F484" i="1"/>
  <c r="G484" i="1"/>
  <c r="H484" i="1"/>
  <c r="I484" i="1"/>
  <c r="J484" i="1"/>
  <c r="K484" i="1"/>
  <c r="A485" i="1"/>
  <c r="B485" i="1"/>
  <c r="C485" i="1"/>
  <c r="D485" i="1"/>
  <c r="E485" i="1"/>
  <c r="F485" i="1"/>
  <c r="G485" i="1"/>
  <c r="H485" i="1"/>
  <c r="I485" i="1"/>
  <c r="J485" i="1"/>
  <c r="K485" i="1"/>
  <c r="A486" i="1"/>
  <c r="B486" i="1"/>
  <c r="C486" i="1"/>
  <c r="D486" i="1"/>
  <c r="E486" i="1"/>
  <c r="F486" i="1"/>
  <c r="G486" i="1"/>
  <c r="H486" i="1"/>
  <c r="I486" i="1"/>
  <c r="J486" i="1"/>
  <c r="K486" i="1"/>
  <c r="A487" i="1"/>
  <c r="B487" i="1"/>
  <c r="C487" i="1"/>
  <c r="D487" i="1"/>
  <c r="E487" i="1"/>
  <c r="F487" i="1"/>
  <c r="G487" i="1"/>
  <c r="H487" i="1"/>
  <c r="I487" i="1"/>
  <c r="J487" i="1"/>
  <c r="K487" i="1"/>
  <c r="A488" i="1"/>
  <c r="B488" i="1"/>
  <c r="C488" i="1"/>
  <c r="D488" i="1"/>
  <c r="E488" i="1"/>
  <c r="F488" i="1"/>
  <c r="G488" i="1"/>
  <c r="H488" i="1"/>
  <c r="I488" i="1"/>
  <c r="J488" i="1"/>
  <c r="K488" i="1"/>
  <c r="A489" i="1"/>
  <c r="B489" i="1"/>
  <c r="C489" i="1"/>
  <c r="D489" i="1"/>
  <c r="E489" i="1"/>
  <c r="F489" i="1"/>
  <c r="G489" i="1"/>
  <c r="H489" i="1"/>
  <c r="I489" i="1"/>
  <c r="J489" i="1"/>
  <c r="K489" i="1"/>
  <c r="A490" i="1"/>
  <c r="B490" i="1"/>
  <c r="C490" i="1"/>
  <c r="D490" i="1"/>
  <c r="E490" i="1"/>
  <c r="F490" i="1"/>
  <c r="G490" i="1"/>
  <c r="H490" i="1"/>
  <c r="I490" i="1"/>
  <c r="J490" i="1"/>
  <c r="K490" i="1"/>
  <c r="A491" i="1"/>
  <c r="B491" i="1"/>
  <c r="C491" i="1"/>
  <c r="D491" i="1"/>
  <c r="E491" i="1"/>
  <c r="F491" i="1"/>
  <c r="G491" i="1"/>
  <c r="H491" i="1"/>
  <c r="I491" i="1"/>
  <c r="J491" i="1"/>
  <c r="K491" i="1"/>
  <c r="A492" i="1"/>
  <c r="B492" i="1"/>
  <c r="C492" i="1"/>
  <c r="D492" i="1"/>
  <c r="E492" i="1"/>
  <c r="F492" i="1"/>
  <c r="G492" i="1"/>
  <c r="H492" i="1"/>
  <c r="I492" i="1"/>
  <c r="J492" i="1"/>
  <c r="K492" i="1"/>
  <c r="A493" i="1"/>
  <c r="B493" i="1"/>
  <c r="C493" i="1"/>
  <c r="D493" i="1"/>
  <c r="E493" i="1"/>
  <c r="F493" i="1"/>
  <c r="G493" i="1"/>
  <c r="H493" i="1"/>
  <c r="I493" i="1"/>
  <c r="J493" i="1"/>
  <c r="K493" i="1"/>
  <c r="A494" i="1"/>
  <c r="B494" i="1"/>
  <c r="C494" i="1"/>
  <c r="D494" i="1"/>
  <c r="E494" i="1"/>
  <c r="F494" i="1"/>
  <c r="G494" i="1"/>
  <c r="H494" i="1"/>
  <c r="I494" i="1"/>
  <c r="J494" i="1"/>
  <c r="K494" i="1"/>
  <c r="A495" i="1"/>
  <c r="B495" i="1"/>
  <c r="C495" i="1"/>
  <c r="D495" i="1"/>
  <c r="E495" i="1"/>
  <c r="F495" i="1"/>
  <c r="G495" i="1"/>
  <c r="H495" i="1"/>
  <c r="I495" i="1"/>
  <c r="J495" i="1"/>
  <c r="K495" i="1"/>
  <c r="A496" i="1"/>
  <c r="B496" i="1"/>
  <c r="C496" i="1"/>
  <c r="D496" i="1"/>
  <c r="E496" i="1"/>
  <c r="F496" i="1"/>
  <c r="G496" i="1"/>
  <c r="H496" i="1"/>
  <c r="I496" i="1"/>
  <c r="J496" i="1"/>
  <c r="K496" i="1"/>
  <c r="A497" i="1"/>
  <c r="B497" i="1"/>
  <c r="C497" i="1"/>
  <c r="D497" i="1"/>
  <c r="E497" i="1"/>
  <c r="F497" i="1"/>
  <c r="G497" i="1"/>
  <c r="H497" i="1"/>
  <c r="I497" i="1"/>
  <c r="J497" i="1"/>
  <c r="K497" i="1"/>
  <c r="A498" i="1"/>
  <c r="B498" i="1"/>
  <c r="C498" i="1"/>
  <c r="D498" i="1"/>
  <c r="E498" i="1"/>
  <c r="F498" i="1"/>
  <c r="G498" i="1"/>
  <c r="H498" i="1"/>
  <c r="I498" i="1"/>
  <c r="J498" i="1"/>
  <c r="K498" i="1"/>
  <c r="A499" i="1"/>
  <c r="B499" i="1"/>
  <c r="C499" i="1"/>
  <c r="D499" i="1"/>
  <c r="E499" i="1"/>
  <c r="F499" i="1"/>
  <c r="G499" i="1"/>
  <c r="H499" i="1"/>
  <c r="I499" i="1"/>
  <c r="J499" i="1"/>
  <c r="K499" i="1"/>
  <c r="A500" i="1"/>
  <c r="B500" i="1"/>
  <c r="C500" i="1"/>
  <c r="D500" i="1"/>
  <c r="E500" i="1"/>
  <c r="F500" i="1"/>
  <c r="G500" i="1"/>
  <c r="H500" i="1"/>
  <c r="I500" i="1"/>
  <c r="J500" i="1"/>
  <c r="K500" i="1"/>
  <c r="A501" i="1"/>
  <c r="B501" i="1"/>
  <c r="C501" i="1"/>
  <c r="D501" i="1"/>
  <c r="E501" i="1"/>
  <c r="F501" i="1"/>
  <c r="G501" i="1"/>
  <c r="H501" i="1"/>
  <c r="I501" i="1"/>
  <c r="J501" i="1"/>
  <c r="K501" i="1"/>
  <c r="A502" i="1"/>
  <c r="B502" i="1"/>
  <c r="C502" i="1"/>
  <c r="D502" i="1"/>
  <c r="E502" i="1"/>
  <c r="F502" i="1"/>
  <c r="G502" i="1"/>
  <c r="H502" i="1"/>
  <c r="I502" i="1"/>
  <c r="J502" i="1"/>
  <c r="K502" i="1"/>
  <c r="A503" i="1"/>
  <c r="B503" i="1"/>
  <c r="C503" i="1"/>
  <c r="D503" i="1"/>
  <c r="E503" i="1"/>
  <c r="F503" i="1"/>
  <c r="G503" i="1"/>
  <c r="H503" i="1"/>
  <c r="I503" i="1"/>
  <c r="J503" i="1"/>
  <c r="K503" i="1"/>
  <c r="A504" i="1"/>
  <c r="B504" i="1"/>
  <c r="C504" i="1"/>
  <c r="D504" i="1"/>
  <c r="E504" i="1"/>
  <c r="F504" i="1"/>
  <c r="G504" i="1"/>
  <c r="H504" i="1"/>
  <c r="I504" i="1"/>
  <c r="J504" i="1"/>
  <c r="K504" i="1"/>
  <c r="A505" i="1"/>
  <c r="B505" i="1"/>
  <c r="C505" i="1"/>
  <c r="D505" i="1"/>
  <c r="E505" i="1"/>
  <c r="F505" i="1"/>
  <c r="G505" i="1"/>
  <c r="H505" i="1"/>
  <c r="I505" i="1"/>
  <c r="J505" i="1"/>
  <c r="K505" i="1"/>
  <c r="A506" i="1"/>
  <c r="B506" i="1"/>
  <c r="C506" i="1"/>
  <c r="D506" i="1"/>
  <c r="E506" i="1"/>
  <c r="F506" i="1"/>
  <c r="G506" i="1"/>
  <c r="H506" i="1"/>
  <c r="I506" i="1"/>
  <c r="J506" i="1"/>
  <c r="K506" i="1"/>
  <c r="A507" i="1"/>
  <c r="B507" i="1"/>
  <c r="C507" i="1"/>
  <c r="D507" i="1"/>
  <c r="E507" i="1"/>
  <c r="F507" i="1"/>
  <c r="G507" i="1"/>
  <c r="H507" i="1"/>
  <c r="I507" i="1"/>
  <c r="J507" i="1"/>
  <c r="K507" i="1"/>
  <c r="A508" i="1"/>
  <c r="B508" i="1"/>
  <c r="C508" i="1"/>
  <c r="D508" i="1"/>
  <c r="E508" i="1"/>
  <c r="F508" i="1"/>
  <c r="G508" i="1"/>
  <c r="H508" i="1"/>
  <c r="I508" i="1"/>
  <c r="J508" i="1"/>
  <c r="K508" i="1"/>
  <c r="A509" i="1"/>
  <c r="B509" i="1"/>
  <c r="C509" i="1"/>
  <c r="D509" i="1"/>
  <c r="E509" i="1"/>
  <c r="F509" i="1"/>
  <c r="G509" i="1"/>
  <c r="H509" i="1"/>
  <c r="I509" i="1"/>
  <c r="J509" i="1"/>
  <c r="K509" i="1"/>
  <c r="A510" i="1"/>
  <c r="B510" i="1"/>
  <c r="C510" i="1"/>
  <c r="D510" i="1"/>
  <c r="E510" i="1"/>
  <c r="F510" i="1"/>
  <c r="G510" i="1"/>
  <c r="H510" i="1"/>
  <c r="I510" i="1"/>
  <c r="J510" i="1"/>
  <c r="K510" i="1"/>
  <c r="A511" i="1"/>
  <c r="B511" i="1"/>
  <c r="C511" i="1"/>
  <c r="D511" i="1"/>
  <c r="E511" i="1"/>
  <c r="F511" i="1"/>
  <c r="G511" i="1"/>
  <c r="H511" i="1"/>
  <c r="I511" i="1"/>
  <c r="J511" i="1"/>
  <c r="K511" i="1"/>
  <c r="A512" i="1"/>
  <c r="B512" i="1"/>
  <c r="C512" i="1"/>
  <c r="D512" i="1"/>
  <c r="E512" i="1"/>
  <c r="F512" i="1"/>
  <c r="G512" i="1"/>
  <c r="H512" i="1"/>
  <c r="I512" i="1"/>
  <c r="J512" i="1"/>
  <c r="K512" i="1"/>
  <c r="A513" i="1"/>
  <c r="B513" i="1"/>
  <c r="C513" i="1"/>
  <c r="D513" i="1"/>
  <c r="E513" i="1"/>
  <c r="F513" i="1"/>
  <c r="G513" i="1"/>
  <c r="H513" i="1"/>
  <c r="I513" i="1"/>
  <c r="J513" i="1"/>
  <c r="K513" i="1"/>
  <c r="A514" i="1"/>
  <c r="B514" i="1"/>
  <c r="C514" i="1"/>
  <c r="D514" i="1"/>
  <c r="E514" i="1"/>
  <c r="F514" i="1"/>
  <c r="G514" i="1"/>
  <c r="H514" i="1"/>
  <c r="I514" i="1"/>
  <c r="J514" i="1"/>
  <c r="K514" i="1"/>
  <c r="A515" i="1"/>
  <c r="B515" i="1"/>
  <c r="C515" i="1"/>
  <c r="D515" i="1"/>
  <c r="E515" i="1"/>
  <c r="F515" i="1"/>
  <c r="G515" i="1"/>
  <c r="H515" i="1"/>
  <c r="I515" i="1"/>
  <c r="J515" i="1"/>
  <c r="K515" i="1"/>
  <c r="A516" i="1"/>
  <c r="B516" i="1"/>
  <c r="C516" i="1"/>
  <c r="D516" i="1"/>
  <c r="E516" i="1"/>
  <c r="F516" i="1"/>
  <c r="G516" i="1"/>
  <c r="H516" i="1"/>
  <c r="I516" i="1"/>
  <c r="J516" i="1"/>
  <c r="K516" i="1"/>
  <c r="A517" i="1"/>
  <c r="B517" i="1"/>
  <c r="C517" i="1"/>
  <c r="D517" i="1"/>
  <c r="E517" i="1"/>
  <c r="F517" i="1"/>
  <c r="G517" i="1"/>
  <c r="H517" i="1"/>
  <c r="I517" i="1"/>
  <c r="J517" i="1"/>
  <c r="K517" i="1"/>
  <c r="A518" i="1"/>
  <c r="B518" i="1"/>
  <c r="C518" i="1"/>
  <c r="D518" i="1"/>
  <c r="E518" i="1"/>
  <c r="F518" i="1"/>
  <c r="G518" i="1"/>
  <c r="H518" i="1"/>
  <c r="I518" i="1"/>
  <c r="J518" i="1"/>
  <c r="K518" i="1"/>
  <c r="A519" i="1"/>
  <c r="B519" i="1"/>
  <c r="C519" i="1"/>
  <c r="D519" i="1"/>
  <c r="E519" i="1"/>
  <c r="F519" i="1"/>
  <c r="G519" i="1"/>
  <c r="H519" i="1"/>
  <c r="I519" i="1"/>
  <c r="J519" i="1"/>
  <c r="K519" i="1"/>
  <c r="A520" i="1"/>
  <c r="B520" i="1"/>
  <c r="C520" i="1"/>
  <c r="D520" i="1"/>
  <c r="E520" i="1"/>
  <c r="F520" i="1"/>
  <c r="G520" i="1"/>
  <c r="H520" i="1"/>
  <c r="I520" i="1"/>
  <c r="J520" i="1"/>
  <c r="K520" i="1"/>
  <c r="A521" i="1"/>
  <c r="B521" i="1"/>
  <c r="C521" i="1"/>
  <c r="D521" i="1"/>
  <c r="E521" i="1"/>
  <c r="F521" i="1"/>
  <c r="G521" i="1"/>
  <c r="H521" i="1"/>
  <c r="I521" i="1"/>
  <c r="J521" i="1"/>
  <c r="K521" i="1"/>
  <c r="A522" i="1"/>
  <c r="B522" i="1"/>
  <c r="C522" i="1"/>
  <c r="D522" i="1"/>
  <c r="E522" i="1"/>
  <c r="F522" i="1"/>
  <c r="G522" i="1"/>
  <c r="H522" i="1"/>
  <c r="I522" i="1"/>
  <c r="J522" i="1"/>
  <c r="K522" i="1"/>
  <c r="A523" i="1"/>
  <c r="B523" i="1"/>
  <c r="C523" i="1"/>
  <c r="D523" i="1"/>
  <c r="E523" i="1"/>
  <c r="F523" i="1"/>
  <c r="G523" i="1"/>
  <c r="H523" i="1"/>
  <c r="I523" i="1"/>
  <c r="J523" i="1"/>
  <c r="K523" i="1"/>
  <c r="A524" i="1"/>
  <c r="B524" i="1"/>
  <c r="C524" i="1"/>
  <c r="D524" i="1"/>
  <c r="E524" i="1"/>
  <c r="F524" i="1"/>
  <c r="G524" i="1"/>
  <c r="H524" i="1"/>
  <c r="I524" i="1"/>
  <c r="J524" i="1"/>
  <c r="K524" i="1"/>
  <c r="A525" i="1"/>
  <c r="B525" i="1"/>
  <c r="C525" i="1"/>
  <c r="D525" i="1"/>
  <c r="E525" i="1"/>
  <c r="F525" i="1"/>
  <c r="G525" i="1"/>
  <c r="H525" i="1"/>
  <c r="I525" i="1"/>
  <c r="J525" i="1"/>
  <c r="K525" i="1"/>
  <c r="A526" i="1"/>
  <c r="B526" i="1"/>
  <c r="C526" i="1"/>
  <c r="D526" i="1"/>
  <c r="E526" i="1"/>
  <c r="F526" i="1"/>
  <c r="G526" i="1"/>
  <c r="H526" i="1"/>
  <c r="I526" i="1"/>
  <c r="J526" i="1"/>
  <c r="K526" i="1"/>
  <c r="A527" i="1"/>
  <c r="B527" i="1"/>
  <c r="C527" i="1"/>
  <c r="D527" i="1"/>
  <c r="E527" i="1"/>
  <c r="F527" i="1"/>
  <c r="G527" i="1"/>
  <c r="H527" i="1"/>
  <c r="I527" i="1"/>
  <c r="J527" i="1"/>
  <c r="K527" i="1"/>
  <c r="A528" i="1"/>
  <c r="B528" i="1"/>
  <c r="C528" i="1"/>
  <c r="D528" i="1"/>
  <c r="E528" i="1"/>
  <c r="F528" i="1"/>
  <c r="G528" i="1"/>
  <c r="H528" i="1"/>
  <c r="I528" i="1"/>
  <c r="J528" i="1"/>
  <c r="K528" i="1"/>
  <c r="A529" i="1"/>
  <c r="B529" i="1"/>
  <c r="C529" i="1"/>
  <c r="D529" i="1"/>
  <c r="E529" i="1"/>
  <c r="F529" i="1"/>
  <c r="G529" i="1"/>
  <c r="H529" i="1"/>
  <c r="I529" i="1"/>
  <c r="J529" i="1"/>
  <c r="K529" i="1"/>
  <c r="A530" i="1"/>
  <c r="B530" i="1"/>
  <c r="C530" i="1"/>
  <c r="D530" i="1"/>
  <c r="E530" i="1"/>
  <c r="F530" i="1"/>
  <c r="G530" i="1"/>
  <c r="H530" i="1"/>
  <c r="I530" i="1"/>
  <c r="J530" i="1"/>
  <c r="K530" i="1"/>
  <c r="A531" i="1"/>
  <c r="B531" i="1"/>
  <c r="C531" i="1"/>
  <c r="D531" i="1"/>
  <c r="E531" i="1"/>
  <c r="F531" i="1"/>
  <c r="G531" i="1"/>
  <c r="H531" i="1"/>
  <c r="I531" i="1"/>
  <c r="J531" i="1"/>
  <c r="K531" i="1"/>
  <c r="A532" i="1"/>
  <c r="B532" i="1"/>
  <c r="C532" i="1"/>
  <c r="D532" i="1"/>
  <c r="E532" i="1"/>
  <c r="F532" i="1"/>
  <c r="G532" i="1"/>
  <c r="H532" i="1"/>
  <c r="I532" i="1"/>
  <c r="J532" i="1"/>
  <c r="K532" i="1"/>
  <c r="A533" i="1"/>
  <c r="B533" i="1"/>
  <c r="C533" i="1"/>
  <c r="D533" i="1"/>
  <c r="E533" i="1"/>
  <c r="F533" i="1"/>
  <c r="G533" i="1"/>
  <c r="H533" i="1"/>
  <c r="I533" i="1"/>
  <c r="J533" i="1"/>
  <c r="K533" i="1"/>
  <c r="A534" i="1"/>
  <c r="B534" i="1"/>
  <c r="C534" i="1"/>
  <c r="D534" i="1"/>
  <c r="E534" i="1"/>
  <c r="F534" i="1"/>
  <c r="G534" i="1"/>
  <c r="H534" i="1"/>
  <c r="I534" i="1"/>
  <c r="J534" i="1"/>
  <c r="K534" i="1"/>
  <c r="A535" i="1"/>
  <c r="B535" i="1"/>
  <c r="C535" i="1"/>
  <c r="D535" i="1"/>
  <c r="E535" i="1"/>
  <c r="F535" i="1"/>
  <c r="G535" i="1"/>
  <c r="H535" i="1"/>
  <c r="I535" i="1"/>
  <c r="J535" i="1"/>
  <c r="K535" i="1"/>
  <c r="A536" i="1"/>
  <c r="B536" i="1"/>
  <c r="C536" i="1"/>
  <c r="D536" i="1"/>
  <c r="E536" i="1"/>
  <c r="F536" i="1"/>
  <c r="G536" i="1"/>
  <c r="H536" i="1"/>
  <c r="I536" i="1"/>
  <c r="J536" i="1"/>
  <c r="K536" i="1"/>
  <c r="A537" i="1"/>
  <c r="B537" i="1"/>
  <c r="C537" i="1"/>
  <c r="D537" i="1"/>
  <c r="E537" i="1"/>
  <c r="F537" i="1"/>
  <c r="G537" i="1"/>
  <c r="H537" i="1"/>
  <c r="I537" i="1"/>
  <c r="J537" i="1"/>
  <c r="K537" i="1"/>
  <c r="A538" i="1"/>
  <c r="B538" i="1"/>
  <c r="C538" i="1"/>
  <c r="D538" i="1"/>
  <c r="E538" i="1"/>
  <c r="F538" i="1"/>
  <c r="G538" i="1"/>
  <c r="H538" i="1"/>
  <c r="I538" i="1"/>
  <c r="J538" i="1"/>
  <c r="K538" i="1"/>
  <c r="A539" i="1"/>
  <c r="B539" i="1"/>
  <c r="C539" i="1"/>
  <c r="D539" i="1"/>
  <c r="E539" i="1"/>
  <c r="F539" i="1"/>
  <c r="G539" i="1"/>
  <c r="H539" i="1"/>
  <c r="I539" i="1"/>
  <c r="J539" i="1"/>
  <c r="K539" i="1"/>
  <c r="A540" i="1"/>
  <c r="B540" i="1"/>
  <c r="C540" i="1"/>
  <c r="D540" i="1"/>
  <c r="E540" i="1"/>
  <c r="F540" i="1"/>
  <c r="G540" i="1"/>
  <c r="H540" i="1"/>
  <c r="I540" i="1"/>
  <c r="J540" i="1"/>
  <c r="K540" i="1"/>
  <c r="A541" i="1"/>
  <c r="B541" i="1"/>
  <c r="C541" i="1"/>
  <c r="D541" i="1"/>
  <c r="E541" i="1"/>
  <c r="F541" i="1"/>
  <c r="G541" i="1"/>
  <c r="H541" i="1"/>
  <c r="I541" i="1"/>
  <c r="J541" i="1"/>
  <c r="K541" i="1"/>
  <c r="A542" i="1"/>
  <c r="B542" i="1"/>
  <c r="C542" i="1"/>
  <c r="D542" i="1"/>
  <c r="E542" i="1"/>
  <c r="F542" i="1"/>
  <c r="G542" i="1"/>
  <c r="H542" i="1"/>
  <c r="I542" i="1"/>
  <c r="J542" i="1"/>
  <c r="K542" i="1"/>
  <c r="A543" i="1"/>
  <c r="B543" i="1"/>
  <c r="C543" i="1"/>
  <c r="D543" i="1"/>
  <c r="E543" i="1"/>
  <c r="F543" i="1"/>
  <c r="G543" i="1"/>
  <c r="H543" i="1"/>
  <c r="I543" i="1"/>
  <c r="J543" i="1"/>
  <c r="K543" i="1"/>
  <c r="A544" i="1"/>
  <c r="B544" i="1"/>
  <c r="C544" i="1"/>
  <c r="D544" i="1"/>
  <c r="E544" i="1"/>
  <c r="F544" i="1"/>
  <c r="G544" i="1"/>
  <c r="H544" i="1"/>
  <c r="I544" i="1"/>
  <c r="J544" i="1"/>
  <c r="K544" i="1"/>
  <c r="A545" i="1"/>
  <c r="B545" i="1"/>
  <c r="C545" i="1"/>
  <c r="D545" i="1"/>
  <c r="E545" i="1"/>
  <c r="F545" i="1"/>
  <c r="G545" i="1"/>
  <c r="H545" i="1"/>
  <c r="I545" i="1"/>
  <c r="J545" i="1"/>
  <c r="K545" i="1"/>
  <c r="A546" i="1"/>
  <c r="B546" i="1"/>
  <c r="C546" i="1"/>
  <c r="D546" i="1"/>
  <c r="E546" i="1"/>
  <c r="F546" i="1"/>
  <c r="G546" i="1"/>
  <c r="H546" i="1"/>
  <c r="I546" i="1"/>
  <c r="J546" i="1"/>
  <c r="K546" i="1"/>
  <c r="A547" i="1"/>
  <c r="B547" i="1"/>
  <c r="C547" i="1"/>
  <c r="D547" i="1"/>
  <c r="E547" i="1"/>
  <c r="F547" i="1"/>
  <c r="G547" i="1"/>
  <c r="H547" i="1"/>
  <c r="I547" i="1"/>
  <c r="J547" i="1"/>
  <c r="K547" i="1"/>
  <c r="A548" i="1"/>
  <c r="B548" i="1"/>
  <c r="C548" i="1"/>
  <c r="D548" i="1"/>
  <c r="E548" i="1"/>
  <c r="F548" i="1"/>
  <c r="G548" i="1"/>
  <c r="H548" i="1"/>
  <c r="I548" i="1"/>
  <c r="J548" i="1"/>
  <c r="K548" i="1"/>
  <c r="A549" i="1"/>
  <c r="B549" i="1"/>
  <c r="C549" i="1"/>
  <c r="D549" i="1"/>
  <c r="E549" i="1"/>
  <c r="F549" i="1"/>
  <c r="G549" i="1"/>
  <c r="H549" i="1"/>
  <c r="I549" i="1"/>
  <c r="J549" i="1"/>
  <c r="K549" i="1"/>
  <c r="A550" i="1"/>
  <c r="B550" i="1"/>
  <c r="C550" i="1"/>
  <c r="D550" i="1"/>
  <c r="E550" i="1"/>
  <c r="F550" i="1"/>
  <c r="G550" i="1"/>
  <c r="H550" i="1"/>
  <c r="I550" i="1"/>
  <c r="J550" i="1"/>
  <c r="K550" i="1"/>
  <c r="A551" i="1"/>
  <c r="B551" i="1"/>
  <c r="C551" i="1"/>
  <c r="D551" i="1"/>
  <c r="E551" i="1"/>
  <c r="F551" i="1"/>
  <c r="G551" i="1"/>
  <c r="H551" i="1"/>
  <c r="I551" i="1"/>
  <c r="J551" i="1"/>
  <c r="K551" i="1"/>
  <c r="A552" i="1"/>
  <c r="B552" i="1"/>
  <c r="C552" i="1"/>
  <c r="D552" i="1"/>
  <c r="E552" i="1"/>
  <c r="F552" i="1"/>
  <c r="G552" i="1"/>
  <c r="H552" i="1"/>
  <c r="I552" i="1"/>
  <c r="J552" i="1"/>
  <c r="K552" i="1"/>
  <c r="A553" i="1"/>
  <c r="B553" i="1"/>
  <c r="C553" i="1"/>
  <c r="D553" i="1"/>
  <c r="E553" i="1"/>
  <c r="F553" i="1"/>
  <c r="G553" i="1"/>
  <c r="H553" i="1"/>
  <c r="I553" i="1"/>
  <c r="J553" i="1"/>
  <c r="K553" i="1"/>
  <c r="A554" i="1"/>
  <c r="B554" i="1"/>
  <c r="C554" i="1"/>
  <c r="D554" i="1"/>
  <c r="E554" i="1"/>
  <c r="F554" i="1"/>
  <c r="G554" i="1"/>
  <c r="H554" i="1"/>
  <c r="I554" i="1"/>
  <c r="J554" i="1"/>
  <c r="K554" i="1"/>
  <c r="A555" i="1"/>
  <c r="B555" i="1"/>
  <c r="C555" i="1"/>
  <c r="D555" i="1"/>
  <c r="E555" i="1"/>
  <c r="F555" i="1"/>
  <c r="G555" i="1"/>
  <c r="H555" i="1"/>
  <c r="I555" i="1"/>
  <c r="J555" i="1"/>
  <c r="K555" i="1"/>
  <c r="A556" i="1"/>
  <c r="B556" i="1"/>
  <c r="C556" i="1"/>
  <c r="D556" i="1"/>
  <c r="E556" i="1"/>
  <c r="F556" i="1"/>
  <c r="G556" i="1"/>
  <c r="H556" i="1"/>
  <c r="I556" i="1"/>
  <c r="J556" i="1"/>
  <c r="K556" i="1"/>
  <c r="A557" i="1"/>
  <c r="B557" i="1"/>
  <c r="C557" i="1"/>
  <c r="D557" i="1"/>
  <c r="E557" i="1"/>
  <c r="F557" i="1"/>
  <c r="G557" i="1"/>
  <c r="H557" i="1"/>
  <c r="I557" i="1"/>
  <c r="J557" i="1"/>
  <c r="K557" i="1"/>
  <c r="A558" i="1"/>
  <c r="B558" i="1"/>
  <c r="C558" i="1"/>
  <c r="D558" i="1"/>
  <c r="E558" i="1"/>
  <c r="F558" i="1"/>
  <c r="G558" i="1"/>
  <c r="H558" i="1"/>
  <c r="I558" i="1"/>
  <c r="J558" i="1"/>
  <c r="K558" i="1"/>
  <c r="A559" i="1"/>
  <c r="B559" i="1"/>
  <c r="C559" i="1"/>
  <c r="D559" i="1"/>
  <c r="E559" i="1"/>
  <c r="F559" i="1"/>
  <c r="G559" i="1"/>
  <c r="H559" i="1"/>
  <c r="I559" i="1"/>
  <c r="J559" i="1"/>
  <c r="K559" i="1"/>
  <c r="A560" i="1"/>
  <c r="B560" i="1"/>
  <c r="C560" i="1"/>
  <c r="D560" i="1"/>
  <c r="E560" i="1"/>
  <c r="F560" i="1"/>
  <c r="G560" i="1"/>
  <c r="H560" i="1"/>
  <c r="I560" i="1"/>
  <c r="J560" i="1"/>
  <c r="K560" i="1"/>
  <c r="A561" i="1"/>
  <c r="B561" i="1"/>
  <c r="C561" i="1"/>
  <c r="D561" i="1"/>
  <c r="E561" i="1"/>
  <c r="F561" i="1"/>
  <c r="G561" i="1"/>
  <c r="H561" i="1"/>
  <c r="I561" i="1"/>
  <c r="J561" i="1"/>
  <c r="K561" i="1"/>
  <c r="A562" i="1"/>
  <c r="B562" i="1"/>
  <c r="C562" i="1"/>
  <c r="D562" i="1"/>
  <c r="E562" i="1"/>
  <c r="F562" i="1"/>
  <c r="G562" i="1"/>
  <c r="H562" i="1"/>
  <c r="I562" i="1"/>
  <c r="J562" i="1"/>
  <c r="K562" i="1"/>
  <c r="A563" i="1"/>
  <c r="B563" i="1"/>
  <c r="C563" i="1"/>
  <c r="D563" i="1"/>
  <c r="E563" i="1"/>
  <c r="F563" i="1"/>
  <c r="G563" i="1"/>
  <c r="H563" i="1"/>
  <c r="I563" i="1"/>
  <c r="J563" i="1"/>
  <c r="K563" i="1"/>
  <c r="A564" i="1"/>
  <c r="B564" i="1"/>
  <c r="C564" i="1"/>
  <c r="D564" i="1"/>
  <c r="E564" i="1"/>
  <c r="F564" i="1"/>
  <c r="G564" i="1"/>
  <c r="H564" i="1"/>
  <c r="I564" i="1"/>
  <c r="J564" i="1"/>
  <c r="K564" i="1"/>
  <c r="A565" i="1"/>
  <c r="B565" i="1"/>
  <c r="C565" i="1"/>
  <c r="D565" i="1"/>
  <c r="E565" i="1"/>
  <c r="F565" i="1"/>
  <c r="G565" i="1"/>
  <c r="H565" i="1"/>
  <c r="I565" i="1"/>
  <c r="J565" i="1"/>
  <c r="K565" i="1"/>
  <c r="A566" i="1"/>
  <c r="B566" i="1"/>
  <c r="C566" i="1"/>
  <c r="D566" i="1"/>
  <c r="E566" i="1"/>
  <c r="F566" i="1"/>
  <c r="G566" i="1"/>
  <c r="H566" i="1"/>
  <c r="I566" i="1"/>
  <c r="J566" i="1"/>
  <c r="K566" i="1"/>
  <c r="A567" i="1"/>
  <c r="B567" i="1"/>
  <c r="C567" i="1"/>
  <c r="D567" i="1"/>
  <c r="E567" i="1"/>
  <c r="F567" i="1"/>
  <c r="G567" i="1"/>
  <c r="H567" i="1"/>
  <c r="I567" i="1"/>
  <c r="J567" i="1"/>
  <c r="K567" i="1"/>
  <c r="A568" i="1"/>
  <c r="B568" i="1"/>
  <c r="C568" i="1"/>
  <c r="D568" i="1"/>
  <c r="E568" i="1"/>
  <c r="F568" i="1"/>
  <c r="G568" i="1"/>
  <c r="H568" i="1"/>
  <c r="I568" i="1"/>
  <c r="J568" i="1"/>
  <c r="K568" i="1"/>
  <c r="A569" i="1"/>
  <c r="B569" i="1"/>
  <c r="C569" i="1"/>
  <c r="D569" i="1"/>
  <c r="E569" i="1"/>
  <c r="F569" i="1"/>
  <c r="G569" i="1"/>
  <c r="H569" i="1"/>
  <c r="I569" i="1"/>
  <c r="J569" i="1"/>
  <c r="K569" i="1"/>
  <c r="A570" i="1"/>
  <c r="B570" i="1"/>
  <c r="C570" i="1"/>
  <c r="D570" i="1"/>
  <c r="E570" i="1"/>
  <c r="F570" i="1"/>
  <c r="G570" i="1"/>
  <c r="H570" i="1"/>
  <c r="I570" i="1"/>
  <c r="J570" i="1"/>
  <c r="K570" i="1"/>
  <c r="A571" i="1"/>
  <c r="B571" i="1"/>
  <c r="C571" i="1"/>
  <c r="D571" i="1"/>
  <c r="E571" i="1"/>
  <c r="F571" i="1"/>
  <c r="G571" i="1"/>
  <c r="H571" i="1"/>
  <c r="I571" i="1"/>
  <c r="J571" i="1"/>
  <c r="K571" i="1"/>
  <c r="A572" i="1"/>
  <c r="B572" i="1"/>
  <c r="C572" i="1"/>
  <c r="D572" i="1"/>
  <c r="E572" i="1"/>
  <c r="F572" i="1"/>
  <c r="G572" i="1"/>
  <c r="H572" i="1"/>
  <c r="I572" i="1"/>
  <c r="J572" i="1"/>
  <c r="K572" i="1"/>
  <c r="A573" i="1"/>
  <c r="B573" i="1"/>
  <c r="C573" i="1"/>
  <c r="D573" i="1"/>
  <c r="E573" i="1"/>
  <c r="F573" i="1"/>
  <c r="G573" i="1"/>
  <c r="H573" i="1"/>
  <c r="I573" i="1"/>
  <c r="J573" i="1"/>
  <c r="K573" i="1"/>
  <c r="A574" i="1"/>
  <c r="B574" i="1"/>
  <c r="C574" i="1"/>
  <c r="D574" i="1"/>
  <c r="E574" i="1"/>
  <c r="F574" i="1"/>
  <c r="G574" i="1"/>
  <c r="H574" i="1"/>
  <c r="I574" i="1"/>
  <c r="J574" i="1"/>
  <c r="K574" i="1"/>
  <c r="A575" i="1"/>
  <c r="B575" i="1"/>
  <c r="C575" i="1"/>
  <c r="D575" i="1"/>
  <c r="E575" i="1"/>
  <c r="F575" i="1"/>
  <c r="G575" i="1"/>
  <c r="H575" i="1"/>
  <c r="I575" i="1"/>
  <c r="J575" i="1"/>
  <c r="K575" i="1"/>
  <c r="A576" i="1"/>
  <c r="B576" i="1"/>
  <c r="C576" i="1"/>
  <c r="D576" i="1"/>
  <c r="E576" i="1"/>
  <c r="F576" i="1"/>
  <c r="G576" i="1"/>
  <c r="H576" i="1"/>
  <c r="I576" i="1"/>
  <c r="J576" i="1"/>
  <c r="K576" i="1"/>
  <c r="A577" i="1"/>
  <c r="B577" i="1"/>
  <c r="C577" i="1"/>
  <c r="D577" i="1"/>
  <c r="E577" i="1"/>
  <c r="F577" i="1"/>
  <c r="G577" i="1"/>
  <c r="H577" i="1"/>
  <c r="I577" i="1"/>
  <c r="J577" i="1"/>
  <c r="K577" i="1"/>
  <c r="A578" i="1"/>
  <c r="B578" i="1"/>
  <c r="C578" i="1"/>
  <c r="D578" i="1"/>
  <c r="E578" i="1"/>
  <c r="F578" i="1"/>
  <c r="G578" i="1"/>
  <c r="H578" i="1"/>
  <c r="I578" i="1"/>
  <c r="J578" i="1"/>
  <c r="K578" i="1"/>
  <c r="A579" i="1"/>
  <c r="B579" i="1"/>
  <c r="C579" i="1"/>
  <c r="D579" i="1"/>
  <c r="E579" i="1"/>
  <c r="F579" i="1"/>
  <c r="G579" i="1"/>
  <c r="H579" i="1"/>
  <c r="I579" i="1"/>
  <c r="J579" i="1"/>
  <c r="K579" i="1"/>
  <c r="A580" i="1"/>
  <c r="B580" i="1"/>
  <c r="C580" i="1"/>
  <c r="D580" i="1"/>
  <c r="E580" i="1"/>
  <c r="F580" i="1"/>
  <c r="G580" i="1"/>
  <c r="H580" i="1"/>
  <c r="I580" i="1"/>
  <c r="J580" i="1"/>
  <c r="K580" i="1"/>
  <c r="A581" i="1"/>
  <c r="B581" i="1"/>
  <c r="C581" i="1"/>
  <c r="D581" i="1"/>
  <c r="E581" i="1"/>
  <c r="F581" i="1"/>
  <c r="G581" i="1"/>
  <c r="H581" i="1"/>
  <c r="I581" i="1"/>
  <c r="J581" i="1"/>
  <c r="K581" i="1"/>
  <c r="A582" i="1"/>
  <c r="B582" i="1"/>
  <c r="C582" i="1"/>
  <c r="D582" i="1"/>
  <c r="E582" i="1"/>
  <c r="F582" i="1"/>
  <c r="G582" i="1"/>
  <c r="H582" i="1"/>
  <c r="I582" i="1"/>
  <c r="J582" i="1"/>
  <c r="K582" i="1"/>
  <c r="A583" i="1"/>
  <c r="B583" i="1"/>
  <c r="C583" i="1"/>
  <c r="D583" i="1"/>
  <c r="E583" i="1"/>
  <c r="F583" i="1"/>
  <c r="G583" i="1"/>
  <c r="H583" i="1"/>
  <c r="I583" i="1"/>
  <c r="J583" i="1"/>
  <c r="K583" i="1"/>
  <c r="A584" i="1"/>
  <c r="B584" i="1"/>
  <c r="C584" i="1"/>
  <c r="D584" i="1"/>
  <c r="E584" i="1"/>
  <c r="F584" i="1"/>
  <c r="G584" i="1"/>
  <c r="H584" i="1"/>
  <c r="I584" i="1"/>
  <c r="J584" i="1"/>
  <c r="K584" i="1"/>
  <c r="A585" i="1"/>
  <c r="B585" i="1"/>
  <c r="C585" i="1"/>
  <c r="D585" i="1"/>
  <c r="E585" i="1"/>
  <c r="F585" i="1"/>
  <c r="G585" i="1"/>
  <c r="H585" i="1"/>
  <c r="I585" i="1"/>
  <c r="J585" i="1"/>
  <c r="K585" i="1"/>
  <c r="A586" i="1"/>
  <c r="B586" i="1"/>
  <c r="C586" i="1"/>
  <c r="D586" i="1"/>
  <c r="E586" i="1"/>
  <c r="F586" i="1"/>
  <c r="G586" i="1"/>
  <c r="H586" i="1"/>
  <c r="I586" i="1"/>
  <c r="J586" i="1"/>
  <c r="K586" i="1"/>
  <c r="A587" i="1"/>
  <c r="B587" i="1"/>
  <c r="C587" i="1"/>
  <c r="D587" i="1"/>
  <c r="E587" i="1"/>
  <c r="F587" i="1"/>
  <c r="G587" i="1"/>
  <c r="H587" i="1"/>
  <c r="I587" i="1"/>
  <c r="J587" i="1"/>
  <c r="K587" i="1"/>
  <c r="A588" i="1"/>
  <c r="B588" i="1"/>
  <c r="C588" i="1"/>
  <c r="D588" i="1"/>
  <c r="E588" i="1"/>
  <c r="F588" i="1"/>
  <c r="G588" i="1"/>
  <c r="H588" i="1"/>
  <c r="I588" i="1"/>
  <c r="J588" i="1"/>
  <c r="K588" i="1"/>
  <c r="A589" i="1"/>
  <c r="B589" i="1"/>
  <c r="C589" i="1"/>
  <c r="D589" i="1"/>
  <c r="E589" i="1"/>
  <c r="F589" i="1"/>
  <c r="G589" i="1"/>
  <c r="H589" i="1"/>
  <c r="I589" i="1"/>
  <c r="J589" i="1"/>
  <c r="K589" i="1"/>
  <c r="A590" i="1"/>
  <c r="B590" i="1"/>
  <c r="C590" i="1"/>
  <c r="D590" i="1"/>
  <c r="E590" i="1"/>
  <c r="F590" i="1"/>
  <c r="G590" i="1"/>
  <c r="H590" i="1"/>
  <c r="I590" i="1"/>
  <c r="J590" i="1"/>
  <c r="K590" i="1"/>
  <c r="A591" i="1"/>
  <c r="B591" i="1"/>
  <c r="C591" i="1"/>
  <c r="D591" i="1"/>
  <c r="E591" i="1"/>
  <c r="F591" i="1"/>
  <c r="G591" i="1"/>
  <c r="H591" i="1"/>
  <c r="I591" i="1"/>
  <c r="J591" i="1"/>
  <c r="K591" i="1"/>
  <c r="A592" i="1"/>
  <c r="B592" i="1"/>
  <c r="C592" i="1"/>
  <c r="D592" i="1"/>
  <c r="E592" i="1"/>
  <c r="F592" i="1"/>
  <c r="G592" i="1"/>
  <c r="H592" i="1"/>
  <c r="I592" i="1"/>
  <c r="J592" i="1"/>
  <c r="K592" i="1"/>
  <c r="A593" i="1"/>
  <c r="B593" i="1"/>
  <c r="C593" i="1"/>
  <c r="D593" i="1"/>
  <c r="E593" i="1"/>
  <c r="F593" i="1"/>
  <c r="G593" i="1"/>
  <c r="H593" i="1"/>
  <c r="I593" i="1"/>
  <c r="J593" i="1"/>
  <c r="K593" i="1"/>
  <c r="A594" i="1"/>
  <c r="B594" i="1"/>
  <c r="C594" i="1"/>
  <c r="D594" i="1"/>
  <c r="E594" i="1"/>
  <c r="F594" i="1"/>
  <c r="G594" i="1"/>
  <c r="H594" i="1"/>
  <c r="I594" i="1"/>
  <c r="J594" i="1"/>
  <c r="K594" i="1"/>
  <c r="A595" i="1"/>
  <c r="B595" i="1"/>
  <c r="C595" i="1"/>
  <c r="D595" i="1"/>
  <c r="E595" i="1"/>
  <c r="F595" i="1"/>
  <c r="G595" i="1"/>
  <c r="H595" i="1"/>
  <c r="I595" i="1"/>
  <c r="J595" i="1"/>
  <c r="K595" i="1"/>
  <c r="A596" i="1"/>
  <c r="B596" i="1"/>
  <c r="C596" i="1"/>
  <c r="D596" i="1"/>
  <c r="E596" i="1"/>
  <c r="F596" i="1"/>
  <c r="G596" i="1"/>
  <c r="H596" i="1"/>
  <c r="I596" i="1"/>
  <c r="J596" i="1"/>
  <c r="K596" i="1"/>
  <c r="A597" i="1"/>
  <c r="B597" i="1"/>
  <c r="C597" i="1"/>
  <c r="D597" i="1"/>
  <c r="E597" i="1"/>
  <c r="F597" i="1"/>
  <c r="G597" i="1"/>
  <c r="H597" i="1"/>
  <c r="I597" i="1"/>
  <c r="J597" i="1"/>
  <c r="K597" i="1"/>
  <c r="A598" i="1"/>
  <c r="B598" i="1"/>
  <c r="C598" i="1"/>
  <c r="D598" i="1"/>
  <c r="E598" i="1"/>
  <c r="F598" i="1"/>
  <c r="G598" i="1"/>
  <c r="H598" i="1"/>
  <c r="I598" i="1"/>
  <c r="J598" i="1"/>
  <c r="K598" i="1"/>
  <c r="A599" i="1"/>
  <c r="B599" i="1"/>
  <c r="C599" i="1"/>
  <c r="D599" i="1"/>
  <c r="E599" i="1"/>
  <c r="F599" i="1"/>
  <c r="G599" i="1"/>
  <c r="H599" i="1"/>
  <c r="I599" i="1"/>
  <c r="J599" i="1"/>
  <c r="K599" i="1"/>
  <c r="A600" i="1"/>
  <c r="B600" i="1"/>
  <c r="C600" i="1"/>
  <c r="D600" i="1"/>
  <c r="E600" i="1"/>
  <c r="F600" i="1"/>
  <c r="G600" i="1"/>
  <c r="H600" i="1"/>
  <c r="I600" i="1"/>
  <c r="J600" i="1"/>
  <c r="K600" i="1"/>
  <c r="A601" i="1"/>
  <c r="B601" i="1"/>
  <c r="C601" i="1"/>
  <c r="D601" i="1"/>
  <c r="E601" i="1"/>
  <c r="F601" i="1"/>
  <c r="G601" i="1"/>
  <c r="H601" i="1"/>
  <c r="I601" i="1"/>
  <c r="J601" i="1"/>
  <c r="K601" i="1"/>
  <c r="A602" i="1"/>
  <c r="B602" i="1"/>
  <c r="C602" i="1"/>
  <c r="D602" i="1"/>
  <c r="E602" i="1"/>
  <c r="F602" i="1"/>
  <c r="G602" i="1"/>
  <c r="H602" i="1"/>
  <c r="I602" i="1"/>
  <c r="J602" i="1"/>
  <c r="K602" i="1"/>
  <c r="A603" i="1"/>
  <c r="B603" i="1"/>
  <c r="C603" i="1"/>
  <c r="D603" i="1"/>
  <c r="E603" i="1"/>
  <c r="F603" i="1"/>
  <c r="G603" i="1"/>
  <c r="H603" i="1"/>
  <c r="I603" i="1"/>
  <c r="J603" i="1"/>
  <c r="K603" i="1"/>
  <c r="A604" i="1"/>
  <c r="B604" i="1"/>
  <c r="C604" i="1"/>
  <c r="D604" i="1"/>
  <c r="E604" i="1"/>
  <c r="F604" i="1"/>
  <c r="G604" i="1"/>
  <c r="H604" i="1"/>
  <c r="I604" i="1"/>
  <c r="J604" i="1"/>
  <c r="K604" i="1"/>
  <c r="A605" i="1"/>
  <c r="B605" i="1"/>
  <c r="C605" i="1"/>
  <c r="D605" i="1"/>
  <c r="E605" i="1"/>
  <c r="F605" i="1"/>
  <c r="G605" i="1"/>
  <c r="H605" i="1"/>
  <c r="I605" i="1"/>
  <c r="J605" i="1"/>
  <c r="K605" i="1"/>
  <c r="A606" i="1"/>
  <c r="B606" i="1"/>
  <c r="C606" i="1"/>
  <c r="D606" i="1"/>
  <c r="E606" i="1"/>
  <c r="F606" i="1"/>
  <c r="G606" i="1"/>
  <c r="H606" i="1"/>
  <c r="I606" i="1"/>
  <c r="J606" i="1"/>
  <c r="K606" i="1"/>
  <c r="A607" i="1"/>
  <c r="B607" i="1"/>
  <c r="C607" i="1"/>
  <c r="D607" i="1"/>
  <c r="E607" i="1"/>
  <c r="F607" i="1"/>
  <c r="G607" i="1"/>
  <c r="H607" i="1"/>
  <c r="I607" i="1"/>
  <c r="J607" i="1"/>
  <c r="K607" i="1"/>
  <c r="A608" i="1"/>
  <c r="B608" i="1"/>
  <c r="C608" i="1"/>
  <c r="D608" i="1"/>
  <c r="E608" i="1"/>
  <c r="F608" i="1"/>
  <c r="G608" i="1"/>
  <c r="H608" i="1"/>
  <c r="I608" i="1"/>
  <c r="J608" i="1"/>
  <c r="K608" i="1"/>
  <c r="A609" i="1"/>
  <c r="B609" i="1"/>
  <c r="C609" i="1"/>
  <c r="D609" i="1"/>
  <c r="E609" i="1"/>
  <c r="F609" i="1"/>
  <c r="G609" i="1"/>
  <c r="H609" i="1"/>
  <c r="I609" i="1"/>
  <c r="J609" i="1"/>
  <c r="K609" i="1"/>
  <c r="A610" i="1"/>
  <c r="B610" i="1"/>
  <c r="C610" i="1"/>
  <c r="D610" i="1"/>
  <c r="E610" i="1"/>
  <c r="F610" i="1"/>
  <c r="G610" i="1"/>
  <c r="H610" i="1"/>
  <c r="I610" i="1"/>
  <c r="J610" i="1"/>
  <c r="K610" i="1"/>
  <c r="A611" i="1"/>
  <c r="B611" i="1"/>
  <c r="C611" i="1"/>
  <c r="D611" i="1"/>
  <c r="E611" i="1"/>
  <c r="F611" i="1"/>
  <c r="G611" i="1"/>
  <c r="H611" i="1"/>
  <c r="I611" i="1"/>
  <c r="J611" i="1"/>
  <c r="K611" i="1"/>
  <c r="A612" i="1"/>
  <c r="B612" i="1"/>
  <c r="C612" i="1"/>
  <c r="D612" i="1"/>
  <c r="E612" i="1"/>
  <c r="F612" i="1"/>
  <c r="G612" i="1"/>
  <c r="H612" i="1"/>
  <c r="I612" i="1"/>
  <c r="J612" i="1"/>
  <c r="K612" i="1"/>
  <c r="A613" i="1"/>
  <c r="B613" i="1"/>
  <c r="C613" i="1"/>
  <c r="D613" i="1"/>
  <c r="E613" i="1"/>
  <c r="F613" i="1"/>
  <c r="G613" i="1"/>
  <c r="H613" i="1"/>
  <c r="I613" i="1"/>
  <c r="J613" i="1"/>
  <c r="K613" i="1"/>
  <c r="A614" i="1"/>
  <c r="B614" i="1"/>
  <c r="C614" i="1"/>
  <c r="D614" i="1"/>
  <c r="E614" i="1"/>
  <c r="F614" i="1"/>
  <c r="G614" i="1"/>
  <c r="H614" i="1"/>
  <c r="I614" i="1"/>
  <c r="J614" i="1"/>
  <c r="K614" i="1"/>
  <c r="A615" i="1"/>
  <c r="B615" i="1"/>
  <c r="C615" i="1"/>
  <c r="D615" i="1"/>
  <c r="E615" i="1"/>
  <c r="F615" i="1"/>
  <c r="G615" i="1"/>
  <c r="H615" i="1"/>
  <c r="I615" i="1"/>
  <c r="J615" i="1"/>
  <c r="K615" i="1"/>
  <c r="A616" i="1"/>
  <c r="B616" i="1"/>
  <c r="C616" i="1"/>
  <c r="D616" i="1"/>
  <c r="E616" i="1"/>
  <c r="F616" i="1"/>
  <c r="G616" i="1"/>
  <c r="H616" i="1"/>
  <c r="I616" i="1"/>
  <c r="J616" i="1"/>
  <c r="K616" i="1"/>
  <c r="A617" i="1"/>
  <c r="B617" i="1"/>
  <c r="C617" i="1"/>
  <c r="D617" i="1"/>
  <c r="E617" i="1"/>
  <c r="F617" i="1"/>
  <c r="G617" i="1"/>
  <c r="H617" i="1"/>
  <c r="I617" i="1"/>
  <c r="J617" i="1"/>
  <c r="K617" i="1"/>
  <c r="A618" i="1"/>
  <c r="B618" i="1"/>
  <c r="C618" i="1"/>
  <c r="D618" i="1"/>
  <c r="E618" i="1"/>
  <c r="F618" i="1"/>
  <c r="G618" i="1"/>
  <c r="H618" i="1"/>
  <c r="I618" i="1"/>
  <c r="J618" i="1"/>
  <c r="K618" i="1"/>
  <c r="A619" i="1"/>
  <c r="B619" i="1"/>
  <c r="C619" i="1"/>
  <c r="D619" i="1"/>
  <c r="E619" i="1"/>
  <c r="F619" i="1"/>
  <c r="G619" i="1"/>
  <c r="H619" i="1"/>
  <c r="I619" i="1"/>
  <c r="J619" i="1"/>
  <c r="K619" i="1"/>
  <c r="A620" i="1"/>
  <c r="B620" i="1"/>
  <c r="C620" i="1"/>
  <c r="D620" i="1"/>
  <c r="E620" i="1"/>
  <c r="F620" i="1"/>
  <c r="G620" i="1"/>
  <c r="H620" i="1"/>
  <c r="I620" i="1"/>
  <c r="J620" i="1"/>
  <c r="K620" i="1"/>
  <c r="A621" i="1"/>
  <c r="B621" i="1"/>
  <c r="C621" i="1"/>
  <c r="D621" i="1"/>
  <c r="E621" i="1"/>
  <c r="F621" i="1"/>
  <c r="G621" i="1"/>
  <c r="H621" i="1"/>
  <c r="I621" i="1"/>
  <c r="J621" i="1"/>
  <c r="K621" i="1"/>
  <c r="A622" i="1"/>
  <c r="B622" i="1"/>
  <c r="C622" i="1"/>
  <c r="D622" i="1"/>
  <c r="E622" i="1"/>
  <c r="F622" i="1"/>
  <c r="G622" i="1"/>
  <c r="H622" i="1"/>
  <c r="I622" i="1"/>
  <c r="J622" i="1"/>
  <c r="K622" i="1"/>
  <c r="A623" i="1"/>
  <c r="B623" i="1"/>
  <c r="C623" i="1"/>
  <c r="D623" i="1"/>
  <c r="E623" i="1"/>
  <c r="F623" i="1"/>
  <c r="G623" i="1"/>
  <c r="H623" i="1"/>
  <c r="I623" i="1"/>
  <c r="J623" i="1"/>
  <c r="K623" i="1"/>
  <c r="A624" i="1"/>
  <c r="B624" i="1"/>
  <c r="C624" i="1"/>
  <c r="D624" i="1"/>
  <c r="E624" i="1"/>
  <c r="F624" i="1"/>
  <c r="G624" i="1"/>
  <c r="H624" i="1"/>
  <c r="I624" i="1"/>
  <c r="J624" i="1"/>
  <c r="K624" i="1"/>
  <c r="A625" i="1"/>
  <c r="B625" i="1"/>
  <c r="C625" i="1"/>
  <c r="D625" i="1"/>
  <c r="E625" i="1"/>
  <c r="F625" i="1"/>
  <c r="G625" i="1"/>
  <c r="H625" i="1"/>
  <c r="I625" i="1"/>
  <c r="J625" i="1"/>
  <c r="K625" i="1"/>
  <c r="A626" i="1"/>
  <c r="B626" i="1"/>
  <c r="C626" i="1"/>
  <c r="D626" i="1"/>
  <c r="E626" i="1"/>
  <c r="F626" i="1"/>
  <c r="G626" i="1"/>
  <c r="H626" i="1"/>
  <c r="I626" i="1"/>
  <c r="J626" i="1"/>
  <c r="K626" i="1"/>
  <c r="A627" i="1"/>
  <c r="B627" i="1"/>
  <c r="C627" i="1"/>
  <c r="D627" i="1"/>
  <c r="E627" i="1"/>
  <c r="F627" i="1"/>
  <c r="G627" i="1"/>
  <c r="H627" i="1"/>
  <c r="I627" i="1"/>
  <c r="J627" i="1"/>
  <c r="K627" i="1"/>
  <c r="A628" i="1"/>
  <c r="B628" i="1"/>
  <c r="C628" i="1"/>
  <c r="D628" i="1"/>
  <c r="E628" i="1"/>
  <c r="F628" i="1"/>
  <c r="G628" i="1"/>
  <c r="H628" i="1"/>
  <c r="I628" i="1"/>
  <c r="J628" i="1"/>
  <c r="K628" i="1"/>
  <c r="A629" i="1"/>
  <c r="B629" i="1"/>
  <c r="C629" i="1"/>
  <c r="D629" i="1"/>
  <c r="E629" i="1"/>
  <c r="F629" i="1"/>
  <c r="G629" i="1"/>
  <c r="H629" i="1"/>
  <c r="I629" i="1"/>
  <c r="J629" i="1"/>
  <c r="K629" i="1"/>
  <c r="A630" i="1"/>
  <c r="B630" i="1"/>
  <c r="C630" i="1"/>
  <c r="D630" i="1"/>
  <c r="E630" i="1"/>
  <c r="F630" i="1"/>
  <c r="G630" i="1"/>
  <c r="H630" i="1"/>
  <c r="I630" i="1"/>
  <c r="J630" i="1"/>
  <c r="K630" i="1"/>
  <c r="A631" i="1"/>
  <c r="B631" i="1"/>
  <c r="C631" i="1"/>
  <c r="D631" i="1"/>
  <c r="E631" i="1"/>
  <c r="F631" i="1"/>
  <c r="G631" i="1"/>
  <c r="H631" i="1"/>
  <c r="I631" i="1"/>
  <c r="J631" i="1"/>
  <c r="K631" i="1"/>
  <c r="A632" i="1"/>
  <c r="B632" i="1"/>
  <c r="C632" i="1"/>
  <c r="D632" i="1"/>
  <c r="E632" i="1"/>
  <c r="F632" i="1"/>
  <c r="G632" i="1"/>
  <c r="H632" i="1"/>
  <c r="I632" i="1"/>
  <c r="J632" i="1"/>
  <c r="K632" i="1"/>
  <c r="A633" i="1"/>
  <c r="B633" i="1"/>
  <c r="C633" i="1"/>
  <c r="D633" i="1"/>
  <c r="E633" i="1"/>
  <c r="F633" i="1"/>
  <c r="G633" i="1"/>
  <c r="H633" i="1"/>
  <c r="I633" i="1"/>
  <c r="J633" i="1"/>
  <c r="K633" i="1"/>
  <c r="A634" i="1"/>
  <c r="B634" i="1"/>
  <c r="C634" i="1"/>
  <c r="D634" i="1"/>
  <c r="E634" i="1"/>
  <c r="F634" i="1"/>
  <c r="G634" i="1"/>
  <c r="H634" i="1"/>
  <c r="I634" i="1"/>
  <c r="J634" i="1"/>
  <c r="K634" i="1"/>
  <c r="A635" i="1"/>
  <c r="B635" i="1"/>
  <c r="C635" i="1"/>
  <c r="D635" i="1"/>
  <c r="E635" i="1"/>
  <c r="F635" i="1"/>
  <c r="G635" i="1"/>
  <c r="H635" i="1"/>
  <c r="I635" i="1"/>
  <c r="J635" i="1"/>
  <c r="K635" i="1"/>
  <c r="A636" i="1"/>
  <c r="B636" i="1"/>
  <c r="C636" i="1"/>
  <c r="D636" i="1"/>
  <c r="E636" i="1"/>
  <c r="F636" i="1"/>
  <c r="G636" i="1"/>
  <c r="H636" i="1"/>
  <c r="I636" i="1"/>
  <c r="J636" i="1"/>
  <c r="K636" i="1"/>
  <c r="A637" i="1"/>
  <c r="B637" i="1"/>
  <c r="C637" i="1"/>
  <c r="D637" i="1"/>
  <c r="E637" i="1"/>
  <c r="F637" i="1"/>
  <c r="G637" i="1"/>
  <c r="H637" i="1"/>
  <c r="I637" i="1"/>
  <c r="J637" i="1"/>
  <c r="K637" i="1"/>
  <c r="A638" i="1"/>
  <c r="B638" i="1"/>
  <c r="C638" i="1"/>
  <c r="D638" i="1"/>
  <c r="E638" i="1"/>
  <c r="F638" i="1"/>
  <c r="G638" i="1"/>
  <c r="H638" i="1"/>
  <c r="I638" i="1"/>
  <c r="J638" i="1"/>
  <c r="K638" i="1"/>
  <c r="A639" i="1"/>
  <c r="B639" i="1"/>
  <c r="C639" i="1"/>
  <c r="D639" i="1"/>
  <c r="E639" i="1"/>
  <c r="F639" i="1"/>
  <c r="G639" i="1"/>
  <c r="H639" i="1"/>
  <c r="I639" i="1"/>
  <c r="J639" i="1"/>
  <c r="K639" i="1"/>
  <c r="A640" i="1"/>
  <c r="B640" i="1"/>
  <c r="C640" i="1"/>
  <c r="D640" i="1"/>
  <c r="E640" i="1"/>
  <c r="F640" i="1"/>
  <c r="G640" i="1"/>
  <c r="H640" i="1"/>
  <c r="I640" i="1"/>
  <c r="J640" i="1"/>
  <c r="K640" i="1"/>
  <c r="A641" i="1"/>
  <c r="B641" i="1"/>
  <c r="C641" i="1"/>
  <c r="D641" i="1"/>
  <c r="E641" i="1"/>
  <c r="F641" i="1"/>
  <c r="G641" i="1"/>
  <c r="H641" i="1"/>
  <c r="I641" i="1"/>
  <c r="J641" i="1"/>
  <c r="K641" i="1"/>
  <c r="A642" i="1"/>
  <c r="B642" i="1"/>
  <c r="C642" i="1"/>
  <c r="D642" i="1"/>
  <c r="E642" i="1"/>
  <c r="F642" i="1"/>
  <c r="G642" i="1"/>
  <c r="H642" i="1"/>
  <c r="I642" i="1"/>
  <c r="J642" i="1"/>
  <c r="K642" i="1"/>
  <c r="A643" i="1"/>
  <c r="B643" i="1"/>
  <c r="C643" i="1"/>
  <c r="D643" i="1"/>
  <c r="E643" i="1"/>
  <c r="F643" i="1"/>
  <c r="G643" i="1"/>
  <c r="H643" i="1"/>
  <c r="I643" i="1"/>
  <c r="J643" i="1"/>
  <c r="K643" i="1"/>
  <c r="A644" i="1"/>
  <c r="B644" i="1"/>
  <c r="C644" i="1"/>
  <c r="D644" i="1"/>
  <c r="E644" i="1"/>
  <c r="F644" i="1"/>
  <c r="G644" i="1"/>
  <c r="H644" i="1"/>
  <c r="I644" i="1"/>
  <c r="J644" i="1"/>
  <c r="K644" i="1"/>
  <c r="A645" i="1"/>
  <c r="B645" i="1"/>
  <c r="C645" i="1"/>
  <c r="D645" i="1"/>
  <c r="E645" i="1"/>
  <c r="F645" i="1"/>
  <c r="G645" i="1"/>
  <c r="H645" i="1"/>
  <c r="I645" i="1"/>
  <c r="J645" i="1"/>
  <c r="K645" i="1"/>
  <c r="A646" i="1"/>
  <c r="B646" i="1"/>
  <c r="C646" i="1"/>
  <c r="D646" i="1"/>
  <c r="E646" i="1"/>
  <c r="F646" i="1"/>
  <c r="G646" i="1"/>
  <c r="H646" i="1"/>
  <c r="I646" i="1"/>
  <c r="J646" i="1"/>
  <c r="K646" i="1"/>
  <c r="A647" i="1"/>
  <c r="B647" i="1"/>
  <c r="C647" i="1"/>
  <c r="D647" i="1"/>
  <c r="E647" i="1"/>
  <c r="F647" i="1"/>
  <c r="G647" i="1"/>
  <c r="H647" i="1"/>
  <c r="I647" i="1"/>
  <c r="J647" i="1"/>
  <c r="K647" i="1"/>
  <c r="A648" i="1"/>
  <c r="B648" i="1"/>
  <c r="C648" i="1"/>
  <c r="D648" i="1"/>
  <c r="E648" i="1"/>
  <c r="F648" i="1"/>
  <c r="G648" i="1"/>
  <c r="H648" i="1"/>
  <c r="I648" i="1"/>
  <c r="J648" i="1"/>
  <c r="K648" i="1"/>
  <c r="A649" i="1"/>
  <c r="B649" i="1"/>
  <c r="C649" i="1"/>
  <c r="D649" i="1"/>
  <c r="E649" i="1"/>
  <c r="F649" i="1"/>
  <c r="G649" i="1"/>
  <c r="H649" i="1"/>
  <c r="I649" i="1"/>
  <c r="J649" i="1"/>
  <c r="K649" i="1"/>
  <c r="A650" i="1"/>
  <c r="B650" i="1"/>
  <c r="C650" i="1"/>
  <c r="D650" i="1"/>
  <c r="E650" i="1"/>
  <c r="F650" i="1"/>
  <c r="G650" i="1"/>
  <c r="H650" i="1"/>
  <c r="I650" i="1"/>
  <c r="J650" i="1"/>
  <c r="K650" i="1"/>
  <c r="A651" i="1"/>
  <c r="B651" i="1"/>
  <c r="C651" i="1"/>
  <c r="D651" i="1"/>
  <c r="E651" i="1"/>
  <c r="F651" i="1"/>
  <c r="G651" i="1"/>
  <c r="H651" i="1"/>
  <c r="I651" i="1"/>
  <c r="J651" i="1"/>
  <c r="K651" i="1"/>
  <c r="A652" i="1"/>
  <c r="B652" i="1"/>
  <c r="C652" i="1"/>
  <c r="D652" i="1"/>
  <c r="E652" i="1"/>
  <c r="F652" i="1"/>
  <c r="G652" i="1"/>
  <c r="H652" i="1"/>
  <c r="I652" i="1"/>
  <c r="J652" i="1"/>
  <c r="K652" i="1"/>
  <c r="A653" i="1"/>
  <c r="B653" i="1"/>
  <c r="C653" i="1"/>
  <c r="D653" i="1"/>
  <c r="E653" i="1"/>
  <c r="F653" i="1"/>
  <c r="G653" i="1"/>
  <c r="H653" i="1"/>
  <c r="I653" i="1"/>
  <c r="J653" i="1"/>
  <c r="K653" i="1"/>
  <c r="A654" i="1"/>
  <c r="B654" i="1"/>
  <c r="C654" i="1"/>
  <c r="D654" i="1"/>
  <c r="E654" i="1"/>
  <c r="F654" i="1"/>
  <c r="G654" i="1"/>
  <c r="H654" i="1"/>
  <c r="I654" i="1"/>
  <c r="J654" i="1"/>
  <c r="K654" i="1"/>
  <c r="A655" i="1"/>
  <c r="B655" i="1"/>
  <c r="C655" i="1"/>
  <c r="D655" i="1"/>
  <c r="E655" i="1"/>
  <c r="F655" i="1"/>
  <c r="G655" i="1"/>
  <c r="H655" i="1"/>
  <c r="I655" i="1"/>
  <c r="J655" i="1"/>
  <c r="K655" i="1"/>
  <c r="A656" i="1"/>
  <c r="B656" i="1"/>
  <c r="C656" i="1"/>
  <c r="D656" i="1"/>
  <c r="E656" i="1"/>
  <c r="F656" i="1"/>
  <c r="G656" i="1"/>
  <c r="H656" i="1"/>
  <c r="I656" i="1"/>
  <c r="J656" i="1"/>
  <c r="K656" i="1"/>
  <c r="A657" i="1"/>
  <c r="B657" i="1"/>
  <c r="C657" i="1"/>
  <c r="D657" i="1"/>
  <c r="E657" i="1"/>
  <c r="F657" i="1"/>
  <c r="G657" i="1"/>
  <c r="H657" i="1"/>
  <c r="I657" i="1"/>
  <c r="J657" i="1"/>
  <c r="K657" i="1"/>
  <c r="A658" i="1"/>
  <c r="B658" i="1"/>
  <c r="C658" i="1"/>
  <c r="D658" i="1"/>
  <c r="E658" i="1"/>
  <c r="F658" i="1"/>
  <c r="G658" i="1"/>
  <c r="H658" i="1"/>
  <c r="I658" i="1"/>
  <c r="J658" i="1"/>
  <c r="K658" i="1"/>
  <c r="A659" i="1"/>
  <c r="B659" i="1"/>
  <c r="C659" i="1"/>
  <c r="D659" i="1"/>
  <c r="E659" i="1"/>
  <c r="F659" i="1"/>
  <c r="G659" i="1"/>
  <c r="H659" i="1"/>
  <c r="I659" i="1"/>
  <c r="J659" i="1"/>
  <c r="K659" i="1"/>
  <c r="A660" i="1"/>
  <c r="B660" i="1"/>
  <c r="C660" i="1"/>
  <c r="D660" i="1"/>
  <c r="E660" i="1"/>
  <c r="F660" i="1"/>
  <c r="G660" i="1"/>
  <c r="H660" i="1"/>
  <c r="I660" i="1"/>
  <c r="J660" i="1"/>
  <c r="K660" i="1"/>
  <c r="A661" i="1"/>
  <c r="B661" i="1"/>
  <c r="C661" i="1"/>
  <c r="D661" i="1"/>
  <c r="E661" i="1"/>
  <c r="F661" i="1"/>
  <c r="G661" i="1"/>
  <c r="H661" i="1"/>
  <c r="I661" i="1"/>
  <c r="J661" i="1"/>
  <c r="K661" i="1"/>
  <c r="A662" i="1"/>
  <c r="B662" i="1"/>
  <c r="C662" i="1"/>
  <c r="D662" i="1"/>
  <c r="E662" i="1"/>
  <c r="F662" i="1"/>
  <c r="G662" i="1"/>
  <c r="H662" i="1"/>
  <c r="I662" i="1"/>
  <c r="J662" i="1"/>
  <c r="K662" i="1"/>
  <c r="A663" i="1"/>
  <c r="B663" i="1"/>
  <c r="C663" i="1"/>
  <c r="D663" i="1"/>
  <c r="E663" i="1"/>
  <c r="F663" i="1"/>
  <c r="G663" i="1"/>
  <c r="H663" i="1"/>
  <c r="I663" i="1"/>
  <c r="J663" i="1"/>
  <c r="K663" i="1"/>
  <c r="A664" i="1"/>
  <c r="B664" i="1"/>
  <c r="C664" i="1"/>
  <c r="D664" i="1"/>
  <c r="E664" i="1"/>
  <c r="F664" i="1"/>
  <c r="G664" i="1"/>
  <c r="H664" i="1"/>
  <c r="I664" i="1"/>
  <c r="J664" i="1"/>
  <c r="K664" i="1"/>
  <c r="A665" i="1"/>
  <c r="B665" i="1"/>
  <c r="C665" i="1"/>
  <c r="D665" i="1"/>
  <c r="E665" i="1"/>
  <c r="F665" i="1"/>
  <c r="G665" i="1"/>
  <c r="H665" i="1"/>
  <c r="I665" i="1"/>
  <c r="J665" i="1"/>
  <c r="K665" i="1"/>
  <c r="A666" i="1"/>
  <c r="B666" i="1"/>
  <c r="C666" i="1"/>
  <c r="D666" i="1"/>
  <c r="E666" i="1"/>
  <c r="F666" i="1"/>
  <c r="G666" i="1"/>
  <c r="H666" i="1"/>
  <c r="I666" i="1"/>
  <c r="J666" i="1"/>
  <c r="K666" i="1"/>
  <c r="A667" i="1"/>
  <c r="B667" i="1"/>
  <c r="C667" i="1"/>
  <c r="D667" i="1"/>
  <c r="E667" i="1"/>
  <c r="F667" i="1"/>
  <c r="G667" i="1"/>
  <c r="H667" i="1"/>
  <c r="I667" i="1"/>
  <c r="J667" i="1"/>
  <c r="K667" i="1"/>
  <c r="A668" i="1"/>
  <c r="B668" i="1"/>
  <c r="C668" i="1"/>
  <c r="D668" i="1"/>
  <c r="E668" i="1"/>
  <c r="F668" i="1"/>
  <c r="G668" i="1"/>
  <c r="H668" i="1"/>
  <c r="I668" i="1"/>
  <c r="J668" i="1"/>
  <c r="K668" i="1"/>
  <c r="A669" i="1"/>
  <c r="B669" i="1"/>
  <c r="C669" i="1"/>
  <c r="D669" i="1"/>
  <c r="E669" i="1"/>
  <c r="F669" i="1"/>
  <c r="G669" i="1"/>
  <c r="H669" i="1"/>
  <c r="I669" i="1"/>
  <c r="J669" i="1"/>
  <c r="K669" i="1"/>
  <c r="A670" i="1"/>
  <c r="B670" i="1"/>
  <c r="C670" i="1"/>
  <c r="D670" i="1"/>
  <c r="E670" i="1"/>
  <c r="F670" i="1"/>
  <c r="G670" i="1"/>
  <c r="H670" i="1"/>
  <c r="I670" i="1"/>
  <c r="J670" i="1"/>
  <c r="K670" i="1"/>
  <c r="A671" i="1"/>
  <c r="B671" i="1"/>
  <c r="C671" i="1"/>
  <c r="D671" i="1"/>
  <c r="E671" i="1"/>
  <c r="F671" i="1"/>
  <c r="G671" i="1"/>
  <c r="H671" i="1"/>
  <c r="I671" i="1"/>
  <c r="J671" i="1"/>
  <c r="K671" i="1"/>
  <c r="A672" i="1"/>
  <c r="B672" i="1"/>
  <c r="C672" i="1"/>
  <c r="D672" i="1"/>
  <c r="E672" i="1"/>
  <c r="F672" i="1"/>
  <c r="G672" i="1"/>
  <c r="H672" i="1"/>
  <c r="I672" i="1"/>
  <c r="J672" i="1"/>
  <c r="K672" i="1"/>
  <c r="A673" i="1"/>
  <c r="B673" i="1"/>
  <c r="C673" i="1"/>
  <c r="D673" i="1"/>
  <c r="E673" i="1"/>
  <c r="F673" i="1"/>
  <c r="G673" i="1"/>
  <c r="H673" i="1"/>
  <c r="I673" i="1"/>
  <c r="J673" i="1"/>
  <c r="K673" i="1"/>
  <c r="A674" i="1"/>
  <c r="B674" i="1"/>
  <c r="C674" i="1"/>
  <c r="D674" i="1"/>
  <c r="E674" i="1"/>
  <c r="F674" i="1"/>
  <c r="G674" i="1"/>
  <c r="H674" i="1"/>
  <c r="I674" i="1"/>
  <c r="J674" i="1"/>
  <c r="K674" i="1"/>
  <c r="A675" i="1"/>
  <c r="B675" i="1"/>
  <c r="C675" i="1"/>
  <c r="D675" i="1"/>
  <c r="E675" i="1"/>
  <c r="F675" i="1"/>
  <c r="G675" i="1"/>
  <c r="H675" i="1"/>
  <c r="I675" i="1"/>
  <c r="J675" i="1"/>
  <c r="K675" i="1"/>
  <c r="A676" i="1"/>
  <c r="B676" i="1"/>
  <c r="C676" i="1"/>
  <c r="D676" i="1"/>
  <c r="E676" i="1"/>
  <c r="F676" i="1"/>
  <c r="G676" i="1"/>
  <c r="H676" i="1"/>
  <c r="I676" i="1"/>
  <c r="J676" i="1"/>
  <c r="K676" i="1"/>
  <c r="A677" i="1"/>
  <c r="B677" i="1"/>
  <c r="C677" i="1"/>
  <c r="D677" i="1"/>
  <c r="E677" i="1"/>
  <c r="F677" i="1"/>
  <c r="G677" i="1"/>
  <c r="H677" i="1"/>
  <c r="I677" i="1"/>
  <c r="J677" i="1"/>
  <c r="K677" i="1"/>
  <c r="A678" i="1"/>
  <c r="B678" i="1"/>
  <c r="C678" i="1"/>
  <c r="D678" i="1"/>
  <c r="E678" i="1"/>
  <c r="F678" i="1"/>
  <c r="G678" i="1"/>
  <c r="H678" i="1"/>
  <c r="I678" i="1"/>
  <c r="J678" i="1"/>
  <c r="K678" i="1"/>
  <c r="A679" i="1"/>
  <c r="B679" i="1"/>
  <c r="C679" i="1"/>
  <c r="D679" i="1"/>
  <c r="E679" i="1"/>
  <c r="F679" i="1"/>
  <c r="G679" i="1"/>
  <c r="H679" i="1"/>
  <c r="I679" i="1"/>
  <c r="J679" i="1"/>
  <c r="K679" i="1"/>
  <c r="A680" i="1"/>
  <c r="B680" i="1"/>
  <c r="C680" i="1"/>
  <c r="D680" i="1"/>
  <c r="E680" i="1"/>
  <c r="F680" i="1"/>
  <c r="G680" i="1"/>
  <c r="H680" i="1"/>
  <c r="I680" i="1"/>
  <c r="J680" i="1"/>
  <c r="K680" i="1"/>
  <c r="A681" i="1"/>
  <c r="B681" i="1"/>
  <c r="C681" i="1"/>
  <c r="D681" i="1"/>
  <c r="E681" i="1"/>
  <c r="F681" i="1"/>
  <c r="G681" i="1"/>
  <c r="H681" i="1"/>
  <c r="I681" i="1"/>
  <c r="J681" i="1"/>
  <c r="K681" i="1"/>
  <c r="A682" i="1"/>
  <c r="B682" i="1"/>
  <c r="C682" i="1"/>
  <c r="D682" i="1"/>
  <c r="E682" i="1"/>
  <c r="F682" i="1"/>
  <c r="G682" i="1"/>
  <c r="H682" i="1"/>
  <c r="I682" i="1"/>
  <c r="J682" i="1"/>
  <c r="K682" i="1"/>
  <c r="A683" i="1"/>
  <c r="B683" i="1"/>
  <c r="C683" i="1"/>
  <c r="D683" i="1"/>
  <c r="E683" i="1"/>
  <c r="F683" i="1"/>
  <c r="G683" i="1"/>
  <c r="H683" i="1"/>
  <c r="I683" i="1"/>
  <c r="J683" i="1"/>
  <c r="K683" i="1"/>
  <c r="A684" i="1"/>
  <c r="B684" i="1"/>
  <c r="C684" i="1"/>
  <c r="D684" i="1"/>
  <c r="E684" i="1"/>
  <c r="F684" i="1"/>
  <c r="G684" i="1"/>
  <c r="H684" i="1"/>
  <c r="I684" i="1"/>
  <c r="J684" i="1"/>
  <c r="K684" i="1"/>
  <c r="A685" i="1"/>
  <c r="B685" i="1"/>
  <c r="C685" i="1"/>
  <c r="D685" i="1"/>
  <c r="E685" i="1"/>
  <c r="F685" i="1"/>
  <c r="G685" i="1"/>
  <c r="H685" i="1"/>
  <c r="I685" i="1"/>
  <c r="J685" i="1"/>
  <c r="K685" i="1"/>
  <c r="A686" i="1"/>
  <c r="B686" i="1"/>
  <c r="C686" i="1"/>
  <c r="D686" i="1"/>
  <c r="E686" i="1"/>
  <c r="F686" i="1"/>
  <c r="G686" i="1"/>
  <c r="H686" i="1"/>
  <c r="I686" i="1"/>
  <c r="J686" i="1"/>
  <c r="K686" i="1"/>
  <c r="A687" i="1"/>
  <c r="B687" i="1"/>
  <c r="C687" i="1"/>
  <c r="D687" i="1"/>
  <c r="E687" i="1"/>
  <c r="F687" i="1"/>
  <c r="G687" i="1"/>
  <c r="H687" i="1"/>
  <c r="I687" i="1"/>
  <c r="J687" i="1"/>
  <c r="K687" i="1"/>
  <c r="A688" i="1"/>
  <c r="B688" i="1"/>
  <c r="C688" i="1"/>
  <c r="D688" i="1"/>
  <c r="E688" i="1"/>
  <c r="F688" i="1"/>
  <c r="G688" i="1"/>
  <c r="H688" i="1"/>
  <c r="I688" i="1"/>
  <c r="J688" i="1"/>
  <c r="K688" i="1"/>
  <c r="A689" i="1"/>
  <c r="B689" i="1"/>
  <c r="C689" i="1"/>
  <c r="D689" i="1"/>
  <c r="E689" i="1"/>
  <c r="F689" i="1"/>
  <c r="G689" i="1"/>
  <c r="H689" i="1"/>
  <c r="I689" i="1"/>
  <c r="J689" i="1"/>
  <c r="K689" i="1"/>
  <c r="A690" i="1"/>
  <c r="B690" i="1"/>
  <c r="C690" i="1"/>
  <c r="D690" i="1"/>
  <c r="E690" i="1"/>
  <c r="F690" i="1"/>
  <c r="G690" i="1"/>
  <c r="H690" i="1"/>
  <c r="I690" i="1"/>
  <c r="J690" i="1"/>
  <c r="K690" i="1"/>
  <c r="A691" i="1"/>
  <c r="B691" i="1"/>
  <c r="C691" i="1"/>
  <c r="D691" i="1"/>
  <c r="E691" i="1"/>
  <c r="F691" i="1"/>
  <c r="G691" i="1"/>
  <c r="H691" i="1"/>
  <c r="I691" i="1"/>
  <c r="J691" i="1"/>
  <c r="K691" i="1"/>
  <c r="A692" i="1"/>
  <c r="B692" i="1"/>
  <c r="C692" i="1"/>
  <c r="D692" i="1"/>
  <c r="E692" i="1"/>
  <c r="F692" i="1"/>
  <c r="G692" i="1"/>
  <c r="H692" i="1"/>
  <c r="I692" i="1"/>
  <c r="J692" i="1"/>
  <c r="K692" i="1"/>
  <c r="A693" i="1"/>
  <c r="B693" i="1"/>
  <c r="C693" i="1"/>
  <c r="D693" i="1"/>
  <c r="E693" i="1"/>
  <c r="F693" i="1"/>
  <c r="G693" i="1"/>
  <c r="H693" i="1"/>
  <c r="I693" i="1"/>
  <c r="J693" i="1"/>
  <c r="K693" i="1"/>
  <c r="A694" i="1"/>
  <c r="B694" i="1"/>
  <c r="C694" i="1"/>
  <c r="D694" i="1"/>
  <c r="E694" i="1"/>
  <c r="F694" i="1"/>
  <c r="G694" i="1"/>
  <c r="H694" i="1"/>
  <c r="I694" i="1"/>
  <c r="J694" i="1"/>
  <c r="K694" i="1"/>
  <c r="A695" i="1"/>
  <c r="B695" i="1"/>
  <c r="C695" i="1"/>
  <c r="D695" i="1"/>
  <c r="E695" i="1"/>
  <c r="F695" i="1"/>
  <c r="G695" i="1"/>
  <c r="H695" i="1"/>
  <c r="I695" i="1"/>
  <c r="J695" i="1"/>
  <c r="K695" i="1"/>
  <c r="A696" i="1"/>
  <c r="B696" i="1"/>
  <c r="C696" i="1"/>
  <c r="D696" i="1"/>
  <c r="E696" i="1"/>
  <c r="F696" i="1"/>
  <c r="G696" i="1"/>
  <c r="H696" i="1"/>
  <c r="I696" i="1"/>
  <c r="J696" i="1"/>
  <c r="K696" i="1"/>
  <c r="A697" i="1"/>
  <c r="B697" i="1"/>
  <c r="C697" i="1"/>
  <c r="D697" i="1"/>
  <c r="E697" i="1"/>
  <c r="F697" i="1"/>
  <c r="G697" i="1"/>
  <c r="H697" i="1"/>
  <c r="I697" i="1"/>
  <c r="J697" i="1"/>
  <c r="K697" i="1"/>
  <c r="A698" i="1"/>
  <c r="B698" i="1"/>
  <c r="C698" i="1"/>
  <c r="D698" i="1"/>
  <c r="E698" i="1"/>
  <c r="F698" i="1"/>
  <c r="G698" i="1"/>
  <c r="H698" i="1"/>
  <c r="I698" i="1"/>
  <c r="J698" i="1"/>
  <c r="K698" i="1"/>
  <c r="A699" i="1"/>
  <c r="B699" i="1"/>
  <c r="C699" i="1"/>
  <c r="D699" i="1"/>
  <c r="E699" i="1"/>
  <c r="F699" i="1"/>
  <c r="G699" i="1"/>
  <c r="H699" i="1"/>
  <c r="I699" i="1"/>
  <c r="J699" i="1"/>
  <c r="K699" i="1"/>
  <c r="A700" i="1"/>
  <c r="B700" i="1"/>
  <c r="C700" i="1"/>
  <c r="D700" i="1"/>
  <c r="E700" i="1"/>
  <c r="F700" i="1"/>
  <c r="G700" i="1"/>
  <c r="H700" i="1"/>
  <c r="I700" i="1"/>
  <c r="J700" i="1"/>
  <c r="K700" i="1"/>
  <c r="A701" i="1"/>
  <c r="B701" i="1"/>
  <c r="C701" i="1"/>
  <c r="D701" i="1"/>
  <c r="E701" i="1"/>
  <c r="F701" i="1"/>
  <c r="G701" i="1"/>
  <c r="H701" i="1"/>
  <c r="I701" i="1"/>
  <c r="J701" i="1"/>
  <c r="K701" i="1"/>
  <c r="A702" i="1"/>
  <c r="B702" i="1"/>
  <c r="C702" i="1"/>
  <c r="D702" i="1"/>
  <c r="E702" i="1"/>
  <c r="F702" i="1"/>
  <c r="G702" i="1"/>
  <c r="H702" i="1"/>
  <c r="I702" i="1"/>
  <c r="J702" i="1"/>
  <c r="K702" i="1"/>
  <c r="A703" i="1"/>
  <c r="B703" i="1"/>
  <c r="C703" i="1"/>
  <c r="D703" i="1"/>
  <c r="E703" i="1"/>
  <c r="F703" i="1"/>
  <c r="G703" i="1"/>
  <c r="H703" i="1"/>
  <c r="I703" i="1"/>
  <c r="J703" i="1"/>
  <c r="K703" i="1"/>
  <c r="A704" i="1"/>
  <c r="B704" i="1"/>
  <c r="C704" i="1"/>
  <c r="D704" i="1"/>
  <c r="E704" i="1"/>
  <c r="F704" i="1"/>
  <c r="G704" i="1"/>
  <c r="H704" i="1"/>
  <c r="I704" i="1"/>
  <c r="J704" i="1"/>
  <c r="K704" i="1"/>
  <c r="A705" i="1"/>
  <c r="B705" i="1"/>
  <c r="C705" i="1"/>
  <c r="D705" i="1"/>
  <c r="E705" i="1"/>
  <c r="F705" i="1"/>
  <c r="G705" i="1"/>
  <c r="H705" i="1"/>
  <c r="I705" i="1"/>
  <c r="J705" i="1"/>
  <c r="K705" i="1"/>
  <c r="A706" i="1"/>
  <c r="B706" i="1"/>
  <c r="C706" i="1"/>
  <c r="D706" i="1"/>
  <c r="E706" i="1"/>
  <c r="F706" i="1"/>
  <c r="G706" i="1"/>
  <c r="H706" i="1"/>
  <c r="I706" i="1"/>
  <c r="J706" i="1"/>
  <c r="K706" i="1"/>
  <c r="A707" i="1"/>
  <c r="B707" i="1"/>
  <c r="C707" i="1"/>
  <c r="D707" i="1"/>
  <c r="E707" i="1"/>
  <c r="F707" i="1"/>
  <c r="G707" i="1"/>
  <c r="H707" i="1"/>
  <c r="I707" i="1"/>
  <c r="J707" i="1"/>
  <c r="K707" i="1"/>
  <c r="A708" i="1"/>
  <c r="B708" i="1"/>
  <c r="C708" i="1"/>
  <c r="D708" i="1"/>
  <c r="E708" i="1"/>
  <c r="F708" i="1"/>
  <c r="G708" i="1"/>
  <c r="H708" i="1"/>
  <c r="I708" i="1"/>
  <c r="J708" i="1"/>
  <c r="K708" i="1"/>
  <c r="A709" i="1"/>
  <c r="B709" i="1"/>
  <c r="C709" i="1"/>
  <c r="D709" i="1"/>
  <c r="E709" i="1"/>
  <c r="F709" i="1"/>
  <c r="G709" i="1"/>
  <c r="H709" i="1"/>
  <c r="I709" i="1"/>
  <c r="J709" i="1"/>
  <c r="K709" i="1"/>
  <c r="A710" i="1"/>
  <c r="B710" i="1"/>
  <c r="C710" i="1"/>
  <c r="D710" i="1"/>
  <c r="E710" i="1"/>
  <c r="F710" i="1"/>
  <c r="G710" i="1"/>
  <c r="H710" i="1"/>
  <c r="I710" i="1"/>
  <c r="J710" i="1"/>
  <c r="K710" i="1"/>
  <c r="A711" i="1"/>
  <c r="B711" i="1"/>
  <c r="C711" i="1"/>
  <c r="D711" i="1"/>
  <c r="E711" i="1"/>
  <c r="F711" i="1"/>
  <c r="G711" i="1"/>
  <c r="H711" i="1"/>
  <c r="I711" i="1"/>
  <c r="J711" i="1"/>
  <c r="K711" i="1"/>
  <c r="A712" i="1"/>
  <c r="B712" i="1"/>
  <c r="C712" i="1"/>
  <c r="D712" i="1"/>
  <c r="E712" i="1"/>
  <c r="F712" i="1"/>
  <c r="G712" i="1"/>
  <c r="H712" i="1"/>
  <c r="I712" i="1"/>
  <c r="J712" i="1"/>
  <c r="K712" i="1"/>
  <c r="A713" i="1"/>
  <c r="B713" i="1"/>
  <c r="C713" i="1"/>
  <c r="D713" i="1"/>
  <c r="E713" i="1"/>
  <c r="F713" i="1"/>
  <c r="G713" i="1"/>
  <c r="H713" i="1"/>
  <c r="I713" i="1"/>
  <c r="J713" i="1"/>
  <c r="K713" i="1"/>
  <c r="A714" i="1"/>
  <c r="B714" i="1"/>
  <c r="C714" i="1"/>
  <c r="D714" i="1"/>
  <c r="E714" i="1"/>
  <c r="F714" i="1"/>
  <c r="G714" i="1"/>
  <c r="H714" i="1"/>
  <c r="I714" i="1"/>
  <c r="J714" i="1"/>
  <c r="K714" i="1"/>
  <c r="A715" i="1"/>
  <c r="B715" i="1"/>
  <c r="C715" i="1"/>
  <c r="D715" i="1"/>
  <c r="E715" i="1"/>
  <c r="F715" i="1"/>
  <c r="G715" i="1"/>
  <c r="H715" i="1"/>
  <c r="I715" i="1"/>
  <c r="J715" i="1"/>
  <c r="K715" i="1"/>
  <c r="A716" i="1"/>
  <c r="B716" i="1"/>
  <c r="C716" i="1"/>
  <c r="D716" i="1"/>
  <c r="E716" i="1"/>
  <c r="F716" i="1"/>
  <c r="G716" i="1"/>
  <c r="H716" i="1"/>
  <c r="I716" i="1"/>
  <c r="J716" i="1"/>
  <c r="K716" i="1"/>
  <c r="A717" i="1"/>
  <c r="B717" i="1"/>
  <c r="C717" i="1"/>
  <c r="D717" i="1"/>
  <c r="E717" i="1"/>
  <c r="F717" i="1"/>
  <c r="G717" i="1"/>
  <c r="H717" i="1"/>
  <c r="I717" i="1"/>
  <c r="J717" i="1"/>
  <c r="K717" i="1"/>
  <c r="A718" i="1"/>
  <c r="B718" i="1"/>
  <c r="C718" i="1"/>
  <c r="D718" i="1"/>
  <c r="E718" i="1"/>
  <c r="F718" i="1"/>
  <c r="G718" i="1"/>
  <c r="H718" i="1"/>
  <c r="I718" i="1"/>
  <c r="J718" i="1"/>
  <c r="K718" i="1"/>
  <c r="A719" i="1"/>
  <c r="B719" i="1"/>
  <c r="C719" i="1"/>
  <c r="D719" i="1"/>
  <c r="E719" i="1"/>
  <c r="F719" i="1"/>
  <c r="G719" i="1"/>
  <c r="H719" i="1"/>
  <c r="I719" i="1"/>
  <c r="J719" i="1"/>
  <c r="K719" i="1"/>
  <c r="A720" i="1"/>
  <c r="B720" i="1"/>
  <c r="C720" i="1"/>
  <c r="D720" i="1"/>
  <c r="E720" i="1"/>
  <c r="F720" i="1"/>
  <c r="G720" i="1"/>
  <c r="H720" i="1"/>
  <c r="I720" i="1"/>
  <c r="J720" i="1"/>
  <c r="K720" i="1"/>
  <c r="A721" i="1"/>
  <c r="B721" i="1"/>
  <c r="C721" i="1"/>
  <c r="D721" i="1"/>
  <c r="E721" i="1"/>
  <c r="F721" i="1"/>
  <c r="G721" i="1"/>
  <c r="H721" i="1"/>
  <c r="I721" i="1"/>
  <c r="J721" i="1"/>
  <c r="K721" i="1"/>
  <c r="A722" i="1"/>
  <c r="B722" i="1"/>
  <c r="C722" i="1"/>
  <c r="D722" i="1"/>
  <c r="E722" i="1"/>
  <c r="F722" i="1"/>
  <c r="G722" i="1"/>
  <c r="H722" i="1"/>
  <c r="I722" i="1"/>
  <c r="J722" i="1"/>
  <c r="K722" i="1"/>
  <c r="A723" i="1"/>
  <c r="B723" i="1"/>
  <c r="C723" i="1"/>
  <c r="D723" i="1"/>
  <c r="E723" i="1"/>
  <c r="F723" i="1"/>
  <c r="G723" i="1"/>
  <c r="H723" i="1"/>
  <c r="I723" i="1"/>
  <c r="J723" i="1"/>
  <c r="K723" i="1"/>
  <c r="A724" i="1"/>
  <c r="B724" i="1"/>
  <c r="C724" i="1"/>
  <c r="D724" i="1"/>
  <c r="E724" i="1"/>
  <c r="F724" i="1"/>
  <c r="G724" i="1"/>
  <c r="H724" i="1"/>
  <c r="I724" i="1"/>
  <c r="J724" i="1"/>
  <c r="K724" i="1"/>
  <c r="A725" i="1"/>
  <c r="B725" i="1"/>
  <c r="C725" i="1"/>
  <c r="D725" i="1"/>
  <c r="E725" i="1"/>
  <c r="F725" i="1"/>
  <c r="G725" i="1"/>
  <c r="H725" i="1"/>
  <c r="I725" i="1"/>
  <c r="J725" i="1"/>
  <c r="K725" i="1"/>
  <c r="A726" i="1"/>
  <c r="B726" i="1"/>
  <c r="C726" i="1"/>
  <c r="D726" i="1"/>
  <c r="E726" i="1"/>
  <c r="F726" i="1"/>
  <c r="G726" i="1"/>
  <c r="H726" i="1"/>
  <c r="I726" i="1"/>
  <c r="J726" i="1"/>
  <c r="K726" i="1"/>
  <c r="A727" i="1"/>
  <c r="B727" i="1"/>
  <c r="C727" i="1"/>
  <c r="D727" i="1"/>
  <c r="E727" i="1"/>
  <c r="F727" i="1"/>
  <c r="G727" i="1"/>
  <c r="H727" i="1"/>
  <c r="I727" i="1"/>
  <c r="J727" i="1"/>
  <c r="K727" i="1"/>
  <c r="A728" i="1"/>
  <c r="B728" i="1"/>
  <c r="C728" i="1"/>
  <c r="D728" i="1"/>
  <c r="E728" i="1"/>
  <c r="F728" i="1"/>
  <c r="G728" i="1"/>
  <c r="H728" i="1"/>
  <c r="I728" i="1"/>
  <c r="J728" i="1"/>
  <c r="K728" i="1"/>
  <c r="A729" i="1"/>
  <c r="B729" i="1"/>
  <c r="C729" i="1"/>
  <c r="D729" i="1"/>
  <c r="E729" i="1"/>
  <c r="F729" i="1"/>
  <c r="G729" i="1"/>
  <c r="H729" i="1"/>
  <c r="I729" i="1"/>
  <c r="J729" i="1"/>
  <c r="K729" i="1"/>
  <c r="A730" i="1"/>
  <c r="B730" i="1"/>
  <c r="C730" i="1"/>
  <c r="D730" i="1"/>
  <c r="E730" i="1"/>
  <c r="F730" i="1"/>
  <c r="G730" i="1"/>
  <c r="H730" i="1"/>
  <c r="I730" i="1"/>
  <c r="J730" i="1"/>
  <c r="K730" i="1"/>
  <c r="A731" i="1"/>
  <c r="B731" i="1"/>
  <c r="C731" i="1"/>
  <c r="D731" i="1"/>
  <c r="E731" i="1"/>
  <c r="F731" i="1"/>
  <c r="G731" i="1"/>
  <c r="H731" i="1"/>
  <c r="I731" i="1"/>
  <c r="J731" i="1"/>
  <c r="K731" i="1"/>
  <c r="A732" i="1"/>
  <c r="B732" i="1"/>
  <c r="C732" i="1"/>
  <c r="D732" i="1"/>
  <c r="E732" i="1"/>
  <c r="F732" i="1"/>
  <c r="G732" i="1"/>
  <c r="H732" i="1"/>
  <c r="I732" i="1"/>
  <c r="J732" i="1"/>
  <c r="K732" i="1"/>
  <c r="A733" i="1"/>
  <c r="B733" i="1"/>
  <c r="C733" i="1"/>
  <c r="D733" i="1"/>
  <c r="E733" i="1"/>
  <c r="F733" i="1"/>
  <c r="G733" i="1"/>
  <c r="H733" i="1"/>
  <c r="I733" i="1"/>
  <c r="J733" i="1"/>
  <c r="K733" i="1"/>
  <c r="A734" i="1"/>
  <c r="B734" i="1"/>
  <c r="C734" i="1"/>
  <c r="D734" i="1"/>
  <c r="E734" i="1"/>
  <c r="F734" i="1"/>
  <c r="G734" i="1"/>
  <c r="H734" i="1"/>
  <c r="I734" i="1"/>
  <c r="J734" i="1"/>
  <c r="K734" i="1"/>
  <c r="A735" i="1"/>
  <c r="B735" i="1"/>
  <c r="C735" i="1"/>
  <c r="D735" i="1"/>
  <c r="E735" i="1"/>
  <c r="F735" i="1"/>
  <c r="G735" i="1"/>
  <c r="H735" i="1"/>
  <c r="I735" i="1"/>
  <c r="J735" i="1"/>
  <c r="K735" i="1"/>
  <c r="A736" i="1"/>
  <c r="B736" i="1"/>
  <c r="C736" i="1"/>
  <c r="D736" i="1"/>
  <c r="E736" i="1"/>
  <c r="F736" i="1"/>
  <c r="G736" i="1"/>
  <c r="H736" i="1"/>
  <c r="I736" i="1"/>
  <c r="J736" i="1"/>
  <c r="K736" i="1"/>
  <c r="A737" i="1"/>
  <c r="B737" i="1"/>
  <c r="C737" i="1"/>
  <c r="D737" i="1"/>
  <c r="E737" i="1"/>
  <c r="F737" i="1"/>
  <c r="G737" i="1"/>
  <c r="H737" i="1"/>
  <c r="I737" i="1"/>
  <c r="J737" i="1"/>
  <c r="K737" i="1"/>
  <c r="A738" i="1"/>
  <c r="B738" i="1"/>
  <c r="C738" i="1"/>
  <c r="D738" i="1"/>
  <c r="E738" i="1"/>
  <c r="F738" i="1"/>
  <c r="G738" i="1"/>
  <c r="H738" i="1"/>
  <c r="I738" i="1"/>
  <c r="J738" i="1"/>
  <c r="K738" i="1"/>
  <c r="A739" i="1"/>
  <c r="B739" i="1"/>
  <c r="C739" i="1"/>
  <c r="D739" i="1"/>
  <c r="E739" i="1"/>
  <c r="F739" i="1"/>
  <c r="G739" i="1"/>
  <c r="H739" i="1"/>
  <c r="I739" i="1"/>
  <c r="J739" i="1"/>
  <c r="K739" i="1"/>
  <c r="A740" i="1"/>
  <c r="B740" i="1"/>
  <c r="C740" i="1"/>
  <c r="D740" i="1"/>
  <c r="E740" i="1"/>
  <c r="F740" i="1"/>
  <c r="G740" i="1"/>
  <c r="H740" i="1"/>
  <c r="I740" i="1"/>
  <c r="J740" i="1"/>
  <c r="K740" i="1"/>
  <c r="A741" i="1"/>
  <c r="B741" i="1"/>
  <c r="C741" i="1"/>
  <c r="D741" i="1"/>
  <c r="E741" i="1"/>
  <c r="F741" i="1"/>
  <c r="G741" i="1"/>
  <c r="H741" i="1"/>
  <c r="I741" i="1"/>
  <c r="J741" i="1"/>
  <c r="K741" i="1"/>
  <c r="A742" i="1"/>
  <c r="B742" i="1"/>
  <c r="C742" i="1"/>
  <c r="D742" i="1"/>
  <c r="E742" i="1"/>
  <c r="F742" i="1"/>
  <c r="G742" i="1"/>
  <c r="H742" i="1"/>
  <c r="I742" i="1"/>
  <c r="J742" i="1"/>
  <c r="K742" i="1"/>
  <c r="A743" i="1"/>
  <c r="B743" i="1"/>
  <c r="C743" i="1"/>
  <c r="D743" i="1"/>
  <c r="E743" i="1"/>
  <c r="F743" i="1"/>
  <c r="G743" i="1"/>
  <c r="H743" i="1"/>
  <c r="I743" i="1"/>
  <c r="J743" i="1"/>
  <c r="K743" i="1"/>
  <c r="A744" i="1"/>
  <c r="B744" i="1"/>
  <c r="C744" i="1"/>
  <c r="D744" i="1"/>
  <c r="E744" i="1"/>
  <c r="F744" i="1"/>
  <c r="G744" i="1"/>
  <c r="H744" i="1"/>
  <c r="I744" i="1"/>
  <c r="J744" i="1"/>
  <c r="K744" i="1"/>
  <c r="A745" i="1"/>
  <c r="B745" i="1"/>
  <c r="C745" i="1"/>
  <c r="D745" i="1"/>
  <c r="E745" i="1"/>
  <c r="F745" i="1"/>
  <c r="G745" i="1"/>
  <c r="H745" i="1"/>
  <c r="I745" i="1"/>
  <c r="J745" i="1"/>
  <c r="K745" i="1"/>
  <c r="A746" i="1"/>
  <c r="B746" i="1"/>
  <c r="C746" i="1"/>
  <c r="D746" i="1"/>
  <c r="E746" i="1"/>
  <c r="F746" i="1"/>
  <c r="G746" i="1"/>
  <c r="H746" i="1"/>
  <c r="I746" i="1"/>
  <c r="J746" i="1"/>
  <c r="K746" i="1"/>
  <c r="A747" i="1"/>
  <c r="B747" i="1"/>
  <c r="C747" i="1"/>
  <c r="D747" i="1"/>
  <c r="E747" i="1"/>
  <c r="F747" i="1"/>
  <c r="G747" i="1"/>
  <c r="H747" i="1"/>
  <c r="I747" i="1"/>
  <c r="J747" i="1"/>
  <c r="K747" i="1"/>
  <c r="A748" i="1"/>
  <c r="B748" i="1"/>
  <c r="C748" i="1"/>
  <c r="D748" i="1"/>
  <c r="E748" i="1"/>
  <c r="F748" i="1"/>
  <c r="G748" i="1"/>
  <c r="H748" i="1"/>
  <c r="I748" i="1"/>
  <c r="J748" i="1"/>
  <c r="K748" i="1"/>
  <c r="A749" i="1"/>
  <c r="B749" i="1"/>
  <c r="C749" i="1"/>
  <c r="D749" i="1"/>
  <c r="E749" i="1"/>
  <c r="F749" i="1"/>
  <c r="G749" i="1"/>
  <c r="H749" i="1"/>
  <c r="I749" i="1"/>
  <c r="J749" i="1"/>
  <c r="K749" i="1"/>
  <c r="A750" i="1"/>
  <c r="B750" i="1"/>
  <c r="C750" i="1"/>
  <c r="D750" i="1"/>
  <c r="E750" i="1"/>
  <c r="F750" i="1"/>
  <c r="G750" i="1"/>
  <c r="H750" i="1"/>
  <c r="I750" i="1"/>
  <c r="J750" i="1"/>
  <c r="K750" i="1"/>
  <c r="A751" i="1"/>
  <c r="B751" i="1"/>
  <c r="C751" i="1"/>
  <c r="D751" i="1"/>
  <c r="E751" i="1"/>
  <c r="F751" i="1"/>
  <c r="G751" i="1"/>
  <c r="H751" i="1"/>
  <c r="I751" i="1"/>
  <c r="J751" i="1"/>
  <c r="K751" i="1"/>
  <c r="A752" i="1"/>
  <c r="B752" i="1"/>
  <c r="C752" i="1"/>
  <c r="D752" i="1"/>
  <c r="E752" i="1"/>
  <c r="F752" i="1"/>
  <c r="G752" i="1"/>
  <c r="H752" i="1"/>
  <c r="I752" i="1"/>
  <c r="J752" i="1"/>
  <c r="K752" i="1"/>
  <c r="A753" i="1"/>
  <c r="B753" i="1"/>
  <c r="C753" i="1"/>
  <c r="D753" i="1"/>
  <c r="E753" i="1"/>
  <c r="F753" i="1"/>
  <c r="G753" i="1"/>
  <c r="H753" i="1"/>
  <c r="I753" i="1"/>
  <c r="J753" i="1"/>
  <c r="K753" i="1"/>
  <c r="A754" i="1"/>
  <c r="B754" i="1"/>
  <c r="C754" i="1"/>
  <c r="D754" i="1"/>
  <c r="E754" i="1"/>
  <c r="F754" i="1"/>
  <c r="G754" i="1"/>
  <c r="H754" i="1"/>
  <c r="I754" i="1"/>
  <c r="J754" i="1"/>
  <c r="K754" i="1"/>
  <c r="A755" i="1"/>
  <c r="B755" i="1"/>
  <c r="C755" i="1"/>
  <c r="D755" i="1"/>
  <c r="E755" i="1"/>
  <c r="F755" i="1"/>
  <c r="G755" i="1"/>
  <c r="H755" i="1"/>
  <c r="I755" i="1"/>
  <c r="J755" i="1"/>
  <c r="K755" i="1"/>
  <c r="A756" i="1"/>
  <c r="B756" i="1"/>
  <c r="C756" i="1"/>
  <c r="D756" i="1"/>
  <c r="E756" i="1"/>
  <c r="F756" i="1"/>
  <c r="G756" i="1"/>
  <c r="H756" i="1"/>
  <c r="I756" i="1"/>
  <c r="J756" i="1"/>
  <c r="K756" i="1"/>
  <c r="A757" i="1"/>
  <c r="B757" i="1"/>
  <c r="C757" i="1"/>
  <c r="D757" i="1"/>
  <c r="E757" i="1"/>
  <c r="F757" i="1"/>
  <c r="G757" i="1"/>
  <c r="H757" i="1"/>
  <c r="I757" i="1"/>
  <c r="J757" i="1"/>
  <c r="K757" i="1"/>
  <c r="A758" i="1"/>
  <c r="B758" i="1"/>
  <c r="C758" i="1"/>
  <c r="D758" i="1"/>
  <c r="E758" i="1"/>
  <c r="F758" i="1"/>
  <c r="G758" i="1"/>
  <c r="H758" i="1"/>
  <c r="I758" i="1"/>
  <c r="J758" i="1"/>
  <c r="K758" i="1"/>
  <c r="A759" i="1"/>
  <c r="B759" i="1"/>
  <c r="C759" i="1"/>
  <c r="D759" i="1"/>
  <c r="E759" i="1"/>
  <c r="F759" i="1"/>
  <c r="G759" i="1"/>
  <c r="H759" i="1"/>
  <c r="I759" i="1"/>
  <c r="J759" i="1"/>
  <c r="K759" i="1"/>
  <c r="A760" i="1"/>
  <c r="B760" i="1"/>
  <c r="C760" i="1"/>
  <c r="D760" i="1"/>
  <c r="E760" i="1"/>
  <c r="F760" i="1"/>
  <c r="G760" i="1"/>
  <c r="H760" i="1"/>
  <c r="I760" i="1"/>
  <c r="J760" i="1"/>
  <c r="K760" i="1"/>
  <c r="A761" i="1"/>
  <c r="B761" i="1"/>
  <c r="C761" i="1"/>
  <c r="D761" i="1"/>
  <c r="E761" i="1"/>
  <c r="F761" i="1"/>
  <c r="G761" i="1"/>
  <c r="H761" i="1"/>
  <c r="I761" i="1"/>
  <c r="J761" i="1"/>
  <c r="K761" i="1"/>
  <c r="A762" i="1"/>
  <c r="B762" i="1"/>
  <c r="C762" i="1"/>
  <c r="D762" i="1"/>
  <c r="E762" i="1"/>
  <c r="F762" i="1"/>
  <c r="G762" i="1"/>
  <c r="H762" i="1"/>
  <c r="I762" i="1"/>
  <c r="J762" i="1"/>
  <c r="K762" i="1"/>
  <c r="A763" i="1"/>
  <c r="B763" i="1"/>
  <c r="C763" i="1"/>
  <c r="D763" i="1"/>
  <c r="E763" i="1"/>
  <c r="F763" i="1"/>
  <c r="G763" i="1"/>
  <c r="H763" i="1"/>
  <c r="I763" i="1"/>
  <c r="J763" i="1"/>
  <c r="K763" i="1"/>
  <c r="A764" i="1"/>
  <c r="B764" i="1"/>
  <c r="C764" i="1"/>
  <c r="D764" i="1"/>
  <c r="E764" i="1"/>
  <c r="F764" i="1"/>
  <c r="G764" i="1"/>
  <c r="H764" i="1"/>
  <c r="I764" i="1"/>
  <c r="J764" i="1"/>
  <c r="K764" i="1"/>
  <c r="A765" i="1"/>
  <c r="B765" i="1"/>
  <c r="C765" i="1"/>
  <c r="D765" i="1"/>
  <c r="E765" i="1"/>
  <c r="F765" i="1"/>
  <c r="G765" i="1"/>
  <c r="H765" i="1"/>
  <c r="I765" i="1"/>
  <c r="J765" i="1"/>
  <c r="K765" i="1"/>
  <c r="A766" i="1"/>
  <c r="B766" i="1"/>
  <c r="C766" i="1"/>
  <c r="D766" i="1"/>
  <c r="E766" i="1"/>
  <c r="F766" i="1"/>
  <c r="G766" i="1"/>
  <c r="H766" i="1"/>
  <c r="I766" i="1"/>
  <c r="J766" i="1"/>
  <c r="K766" i="1"/>
  <c r="A767" i="1"/>
  <c r="B767" i="1"/>
  <c r="C767" i="1"/>
  <c r="D767" i="1"/>
  <c r="E767" i="1"/>
  <c r="F767" i="1"/>
  <c r="G767" i="1"/>
  <c r="H767" i="1"/>
  <c r="I767" i="1"/>
  <c r="J767" i="1"/>
  <c r="K767" i="1"/>
  <c r="A768" i="1"/>
  <c r="B768" i="1"/>
  <c r="C768" i="1"/>
  <c r="D768" i="1"/>
  <c r="E768" i="1"/>
  <c r="F768" i="1"/>
  <c r="G768" i="1"/>
  <c r="H768" i="1"/>
  <c r="I768" i="1"/>
  <c r="J768" i="1"/>
  <c r="K768" i="1"/>
  <c r="A769" i="1"/>
  <c r="B769" i="1"/>
  <c r="C769" i="1"/>
  <c r="D769" i="1"/>
  <c r="E769" i="1"/>
  <c r="F769" i="1"/>
  <c r="G769" i="1"/>
  <c r="H769" i="1"/>
  <c r="I769" i="1"/>
  <c r="J769" i="1"/>
  <c r="K769" i="1"/>
  <c r="A770" i="1"/>
  <c r="B770" i="1"/>
  <c r="C770" i="1"/>
  <c r="D770" i="1"/>
  <c r="E770" i="1"/>
  <c r="F770" i="1"/>
  <c r="G770" i="1"/>
  <c r="H770" i="1"/>
  <c r="I770" i="1"/>
  <c r="J770" i="1"/>
  <c r="K770" i="1"/>
  <c r="A771" i="1"/>
  <c r="B771" i="1"/>
  <c r="C771" i="1"/>
  <c r="D771" i="1"/>
  <c r="E771" i="1"/>
  <c r="F771" i="1"/>
  <c r="G771" i="1"/>
  <c r="H771" i="1"/>
  <c r="I771" i="1"/>
  <c r="J771" i="1"/>
  <c r="K771" i="1"/>
  <c r="A772" i="1"/>
  <c r="B772" i="1"/>
  <c r="C772" i="1"/>
  <c r="D772" i="1"/>
  <c r="E772" i="1"/>
  <c r="F772" i="1"/>
  <c r="G772" i="1"/>
  <c r="H772" i="1"/>
  <c r="I772" i="1"/>
  <c r="J772" i="1"/>
  <c r="K772" i="1"/>
  <c r="A773" i="1"/>
  <c r="B773" i="1"/>
  <c r="C773" i="1"/>
  <c r="D773" i="1"/>
  <c r="E773" i="1"/>
  <c r="F773" i="1"/>
  <c r="G773" i="1"/>
  <c r="H773" i="1"/>
  <c r="I773" i="1"/>
  <c r="J773" i="1"/>
  <c r="K773" i="1"/>
  <c r="A774" i="1"/>
  <c r="B774" i="1"/>
  <c r="C774" i="1"/>
  <c r="D774" i="1"/>
  <c r="E774" i="1"/>
  <c r="F774" i="1"/>
  <c r="G774" i="1"/>
  <c r="H774" i="1"/>
  <c r="I774" i="1"/>
  <c r="J774" i="1"/>
  <c r="K774" i="1"/>
  <c r="A775" i="1"/>
  <c r="B775" i="1"/>
  <c r="C775" i="1"/>
  <c r="D775" i="1"/>
  <c r="E775" i="1"/>
  <c r="F775" i="1"/>
  <c r="G775" i="1"/>
  <c r="H775" i="1"/>
  <c r="I775" i="1"/>
  <c r="J775" i="1"/>
  <c r="K775" i="1"/>
  <c r="A776" i="1"/>
  <c r="B776" i="1"/>
  <c r="C776" i="1"/>
  <c r="D776" i="1"/>
  <c r="E776" i="1"/>
  <c r="F776" i="1"/>
  <c r="G776" i="1"/>
  <c r="H776" i="1"/>
  <c r="I776" i="1"/>
  <c r="J776" i="1"/>
  <c r="K776" i="1"/>
  <c r="A777" i="1"/>
  <c r="B777" i="1"/>
  <c r="C777" i="1"/>
  <c r="D777" i="1"/>
  <c r="E777" i="1"/>
  <c r="F777" i="1"/>
  <c r="G777" i="1"/>
  <c r="H777" i="1"/>
  <c r="I777" i="1"/>
  <c r="J777" i="1"/>
  <c r="K777" i="1"/>
  <c r="A778" i="1"/>
  <c r="B778" i="1"/>
  <c r="C778" i="1"/>
  <c r="D778" i="1"/>
  <c r="E778" i="1"/>
  <c r="F778" i="1"/>
  <c r="G778" i="1"/>
  <c r="H778" i="1"/>
  <c r="I778" i="1"/>
  <c r="J778" i="1"/>
  <c r="K778" i="1"/>
  <c r="A779" i="1"/>
  <c r="B779" i="1"/>
  <c r="C779" i="1"/>
  <c r="D779" i="1"/>
  <c r="E779" i="1"/>
  <c r="F779" i="1"/>
  <c r="G779" i="1"/>
  <c r="H779" i="1"/>
  <c r="I779" i="1"/>
  <c r="J779" i="1"/>
  <c r="K779" i="1"/>
  <c r="A780" i="1"/>
  <c r="B780" i="1"/>
  <c r="C780" i="1"/>
  <c r="D780" i="1"/>
  <c r="E780" i="1"/>
  <c r="F780" i="1"/>
  <c r="G780" i="1"/>
  <c r="H780" i="1"/>
  <c r="I780" i="1"/>
  <c r="J780" i="1"/>
  <c r="K780" i="1"/>
  <c r="A781" i="1"/>
  <c r="B781" i="1"/>
  <c r="C781" i="1"/>
  <c r="D781" i="1"/>
  <c r="E781" i="1"/>
  <c r="F781" i="1"/>
  <c r="G781" i="1"/>
  <c r="H781" i="1"/>
  <c r="I781" i="1"/>
  <c r="J781" i="1"/>
  <c r="K781" i="1"/>
  <c r="A782" i="1"/>
  <c r="B782" i="1"/>
  <c r="C782" i="1"/>
  <c r="D782" i="1"/>
  <c r="E782" i="1"/>
  <c r="F782" i="1"/>
  <c r="G782" i="1"/>
  <c r="H782" i="1"/>
  <c r="I782" i="1"/>
  <c r="J782" i="1"/>
  <c r="K782" i="1"/>
  <c r="A783" i="1"/>
  <c r="B783" i="1"/>
  <c r="C783" i="1"/>
  <c r="D783" i="1"/>
  <c r="E783" i="1"/>
  <c r="F783" i="1"/>
  <c r="G783" i="1"/>
  <c r="H783" i="1"/>
  <c r="I783" i="1"/>
  <c r="J783" i="1"/>
  <c r="K783" i="1"/>
  <c r="A784" i="1"/>
  <c r="B784" i="1"/>
  <c r="C784" i="1"/>
  <c r="D784" i="1"/>
  <c r="E784" i="1"/>
  <c r="F784" i="1"/>
  <c r="G784" i="1"/>
  <c r="H784" i="1"/>
  <c r="I784" i="1"/>
  <c r="J784" i="1"/>
  <c r="K784" i="1"/>
  <c r="A785" i="1"/>
  <c r="B785" i="1"/>
  <c r="C785" i="1"/>
  <c r="D785" i="1"/>
  <c r="E785" i="1"/>
  <c r="F785" i="1"/>
  <c r="G785" i="1"/>
  <c r="H785" i="1"/>
  <c r="I785" i="1"/>
  <c r="J785" i="1"/>
  <c r="K785" i="1"/>
  <c r="A786" i="1"/>
  <c r="B786" i="1"/>
  <c r="C786" i="1"/>
  <c r="D786" i="1"/>
  <c r="E786" i="1"/>
  <c r="F786" i="1"/>
  <c r="G786" i="1"/>
  <c r="H786" i="1"/>
  <c r="I786" i="1"/>
  <c r="J786" i="1"/>
  <c r="K786" i="1"/>
  <c r="A787" i="1"/>
  <c r="B787" i="1"/>
  <c r="C787" i="1"/>
  <c r="D787" i="1"/>
  <c r="E787" i="1"/>
  <c r="F787" i="1"/>
  <c r="G787" i="1"/>
  <c r="H787" i="1"/>
  <c r="I787" i="1"/>
  <c r="J787" i="1"/>
  <c r="K787" i="1"/>
  <c r="A788" i="1"/>
  <c r="B788" i="1"/>
  <c r="C788" i="1"/>
  <c r="D788" i="1"/>
  <c r="E788" i="1"/>
  <c r="F788" i="1"/>
  <c r="G788" i="1"/>
  <c r="H788" i="1"/>
  <c r="I788" i="1"/>
  <c r="J788" i="1"/>
  <c r="K788" i="1"/>
  <c r="A789" i="1"/>
  <c r="B789" i="1"/>
  <c r="C789" i="1"/>
  <c r="D789" i="1"/>
  <c r="E789" i="1"/>
  <c r="F789" i="1"/>
  <c r="G789" i="1"/>
  <c r="H789" i="1"/>
  <c r="I789" i="1"/>
  <c r="J789" i="1"/>
  <c r="K789" i="1"/>
  <c r="A790" i="1"/>
  <c r="B790" i="1"/>
  <c r="C790" i="1"/>
  <c r="D790" i="1"/>
  <c r="E790" i="1"/>
  <c r="F790" i="1"/>
  <c r="G790" i="1"/>
  <c r="H790" i="1"/>
  <c r="I790" i="1"/>
  <c r="J790" i="1"/>
  <c r="K790" i="1"/>
  <c r="A791" i="1"/>
  <c r="B791" i="1"/>
  <c r="C791" i="1"/>
  <c r="D791" i="1"/>
  <c r="E791" i="1"/>
  <c r="F791" i="1"/>
  <c r="G791" i="1"/>
  <c r="H791" i="1"/>
  <c r="I791" i="1"/>
  <c r="J791" i="1"/>
  <c r="K791" i="1"/>
  <c r="A792" i="1"/>
  <c r="B792" i="1"/>
  <c r="C792" i="1"/>
  <c r="D792" i="1"/>
  <c r="E792" i="1"/>
  <c r="F792" i="1"/>
  <c r="G792" i="1"/>
  <c r="H792" i="1"/>
  <c r="I792" i="1"/>
  <c r="J792" i="1"/>
  <c r="K792" i="1"/>
  <c r="A793" i="1"/>
  <c r="B793" i="1"/>
  <c r="C793" i="1"/>
  <c r="D793" i="1"/>
  <c r="E793" i="1"/>
  <c r="F793" i="1"/>
  <c r="G793" i="1"/>
  <c r="H793" i="1"/>
  <c r="I793" i="1"/>
  <c r="J793" i="1"/>
  <c r="K793" i="1"/>
  <c r="A794" i="1"/>
  <c r="B794" i="1"/>
  <c r="C794" i="1"/>
  <c r="D794" i="1"/>
  <c r="E794" i="1"/>
  <c r="F794" i="1"/>
  <c r="G794" i="1"/>
  <c r="H794" i="1"/>
  <c r="I794" i="1"/>
  <c r="J794" i="1"/>
  <c r="K794" i="1"/>
  <c r="A795" i="1"/>
  <c r="B795" i="1"/>
  <c r="C795" i="1"/>
  <c r="D795" i="1"/>
  <c r="E795" i="1"/>
  <c r="F795" i="1"/>
  <c r="G795" i="1"/>
  <c r="H795" i="1"/>
  <c r="I795" i="1"/>
  <c r="J795" i="1"/>
  <c r="K795" i="1"/>
  <c r="A796" i="1"/>
  <c r="B796" i="1"/>
  <c r="C796" i="1"/>
  <c r="D796" i="1"/>
  <c r="E796" i="1"/>
  <c r="F796" i="1"/>
  <c r="G796" i="1"/>
  <c r="H796" i="1"/>
  <c r="I796" i="1"/>
  <c r="J796" i="1"/>
  <c r="K796" i="1"/>
  <c r="A797" i="1"/>
  <c r="B797" i="1"/>
  <c r="C797" i="1"/>
  <c r="D797" i="1"/>
  <c r="E797" i="1"/>
  <c r="F797" i="1"/>
  <c r="G797" i="1"/>
  <c r="H797" i="1"/>
  <c r="I797" i="1"/>
  <c r="J797" i="1"/>
  <c r="K797" i="1"/>
  <c r="A798" i="1"/>
  <c r="B798" i="1"/>
  <c r="C798" i="1"/>
  <c r="D798" i="1"/>
  <c r="E798" i="1"/>
  <c r="F798" i="1"/>
  <c r="G798" i="1"/>
  <c r="H798" i="1"/>
  <c r="I798" i="1"/>
  <c r="J798" i="1"/>
  <c r="K798" i="1"/>
  <c r="A799" i="1"/>
  <c r="B799" i="1"/>
  <c r="C799" i="1"/>
  <c r="D799" i="1"/>
  <c r="E799" i="1"/>
  <c r="F799" i="1"/>
  <c r="G799" i="1"/>
  <c r="H799" i="1"/>
  <c r="I799" i="1"/>
  <c r="J799" i="1"/>
  <c r="K799" i="1"/>
  <c r="A800" i="1"/>
  <c r="B800" i="1"/>
  <c r="C800" i="1"/>
  <c r="D800" i="1"/>
  <c r="E800" i="1"/>
  <c r="F800" i="1"/>
  <c r="G800" i="1"/>
  <c r="H800" i="1"/>
  <c r="I800" i="1"/>
  <c r="J800" i="1"/>
  <c r="K800" i="1"/>
  <c r="A801" i="1"/>
  <c r="B801" i="1"/>
  <c r="C801" i="1"/>
  <c r="D801" i="1"/>
  <c r="E801" i="1"/>
  <c r="F801" i="1"/>
  <c r="G801" i="1"/>
  <c r="H801" i="1"/>
  <c r="I801" i="1"/>
  <c r="J801" i="1"/>
  <c r="K801" i="1"/>
  <c r="A802" i="1"/>
  <c r="B802" i="1"/>
  <c r="C802" i="1"/>
  <c r="D802" i="1"/>
  <c r="E802" i="1"/>
  <c r="F802" i="1"/>
  <c r="G802" i="1"/>
  <c r="H802" i="1"/>
  <c r="I802" i="1"/>
  <c r="J802" i="1"/>
  <c r="K802" i="1"/>
  <c r="A803" i="1"/>
  <c r="B803" i="1"/>
  <c r="C803" i="1"/>
  <c r="D803" i="1"/>
  <c r="E803" i="1"/>
  <c r="F803" i="1"/>
  <c r="G803" i="1"/>
  <c r="H803" i="1"/>
  <c r="I803" i="1"/>
  <c r="J803" i="1"/>
  <c r="K803" i="1"/>
  <c r="A804" i="1"/>
  <c r="B804" i="1"/>
  <c r="C804" i="1"/>
  <c r="D804" i="1"/>
  <c r="E804" i="1"/>
  <c r="F804" i="1"/>
  <c r="G804" i="1"/>
  <c r="H804" i="1"/>
  <c r="I804" i="1"/>
  <c r="J804" i="1"/>
  <c r="K804" i="1"/>
  <c r="A805" i="1"/>
  <c r="B805" i="1"/>
  <c r="C805" i="1"/>
  <c r="D805" i="1"/>
  <c r="E805" i="1"/>
  <c r="F805" i="1"/>
  <c r="G805" i="1"/>
  <c r="H805" i="1"/>
  <c r="I805" i="1"/>
  <c r="J805" i="1"/>
  <c r="K805" i="1"/>
  <c r="A806" i="1"/>
  <c r="B806" i="1"/>
  <c r="C806" i="1"/>
  <c r="D806" i="1"/>
  <c r="E806" i="1"/>
  <c r="F806" i="1"/>
  <c r="G806" i="1"/>
  <c r="H806" i="1"/>
  <c r="I806" i="1"/>
  <c r="J806" i="1"/>
  <c r="K806" i="1"/>
  <c r="A807" i="1"/>
  <c r="B807" i="1"/>
  <c r="C807" i="1"/>
  <c r="D807" i="1"/>
  <c r="E807" i="1"/>
  <c r="F807" i="1"/>
  <c r="G807" i="1"/>
  <c r="H807" i="1"/>
  <c r="I807" i="1"/>
  <c r="J807" i="1"/>
  <c r="K807" i="1"/>
  <c r="A808" i="1"/>
  <c r="B808" i="1"/>
  <c r="C808" i="1"/>
  <c r="D808" i="1"/>
  <c r="E808" i="1"/>
  <c r="F808" i="1"/>
  <c r="G808" i="1"/>
  <c r="H808" i="1"/>
  <c r="I808" i="1"/>
  <c r="J808" i="1"/>
  <c r="K808" i="1"/>
  <c r="A809" i="1"/>
  <c r="B809" i="1"/>
  <c r="C809" i="1"/>
  <c r="D809" i="1"/>
  <c r="E809" i="1"/>
  <c r="F809" i="1"/>
  <c r="G809" i="1"/>
  <c r="H809" i="1"/>
  <c r="I809" i="1"/>
  <c r="J809" i="1"/>
  <c r="K809" i="1"/>
  <c r="A810" i="1"/>
  <c r="B810" i="1"/>
  <c r="C810" i="1"/>
  <c r="D810" i="1"/>
  <c r="E810" i="1"/>
  <c r="F810" i="1"/>
  <c r="G810" i="1"/>
  <c r="H810" i="1"/>
  <c r="I810" i="1"/>
  <c r="J810" i="1"/>
  <c r="K810" i="1"/>
  <c r="A811" i="1"/>
  <c r="B811" i="1"/>
  <c r="C811" i="1"/>
  <c r="D811" i="1"/>
  <c r="E811" i="1"/>
  <c r="F811" i="1"/>
  <c r="G811" i="1"/>
  <c r="H811" i="1"/>
  <c r="I811" i="1"/>
  <c r="J811" i="1"/>
  <c r="K811" i="1"/>
  <c r="A812" i="1"/>
  <c r="B812" i="1"/>
  <c r="C812" i="1"/>
  <c r="D812" i="1"/>
  <c r="E812" i="1"/>
  <c r="F812" i="1"/>
  <c r="G812" i="1"/>
  <c r="H812" i="1"/>
  <c r="I812" i="1"/>
  <c r="J812" i="1"/>
  <c r="K812" i="1"/>
  <c r="A813" i="1"/>
  <c r="B813" i="1"/>
  <c r="C813" i="1"/>
  <c r="D813" i="1"/>
  <c r="E813" i="1"/>
  <c r="F813" i="1"/>
  <c r="G813" i="1"/>
  <c r="H813" i="1"/>
  <c r="I813" i="1"/>
  <c r="J813" i="1"/>
  <c r="K813" i="1"/>
  <c r="A814" i="1"/>
  <c r="B814" i="1"/>
  <c r="C814" i="1"/>
  <c r="D814" i="1"/>
  <c r="E814" i="1"/>
  <c r="F814" i="1"/>
  <c r="G814" i="1"/>
  <c r="H814" i="1"/>
  <c r="I814" i="1"/>
  <c r="J814" i="1"/>
  <c r="K814" i="1"/>
  <c r="A815" i="1"/>
  <c r="B815" i="1"/>
  <c r="C815" i="1"/>
  <c r="D815" i="1"/>
  <c r="E815" i="1"/>
  <c r="F815" i="1"/>
  <c r="G815" i="1"/>
  <c r="H815" i="1"/>
  <c r="I815" i="1"/>
  <c r="J815" i="1"/>
  <c r="K815" i="1"/>
  <c r="A816" i="1"/>
  <c r="B816" i="1"/>
  <c r="C816" i="1"/>
  <c r="D816" i="1"/>
  <c r="E816" i="1"/>
  <c r="F816" i="1"/>
  <c r="G816" i="1"/>
  <c r="H816" i="1"/>
  <c r="I816" i="1"/>
  <c r="J816" i="1"/>
  <c r="K816" i="1"/>
  <c r="A817" i="1"/>
  <c r="B817" i="1"/>
  <c r="C817" i="1"/>
  <c r="D817" i="1"/>
  <c r="E817" i="1"/>
  <c r="F817" i="1"/>
  <c r="G817" i="1"/>
  <c r="H817" i="1"/>
  <c r="I817" i="1"/>
  <c r="J817" i="1"/>
  <c r="K817" i="1"/>
  <c r="A818" i="1"/>
  <c r="B818" i="1"/>
  <c r="C818" i="1"/>
  <c r="D818" i="1"/>
  <c r="E818" i="1"/>
  <c r="F818" i="1"/>
  <c r="G818" i="1"/>
  <c r="H818" i="1"/>
  <c r="I818" i="1"/>
  <c r="J818" i="1"/>
  <c r="K818" i="1"/>
  <c r="A819" i="1"/>
  <c r="B819" i="1"/>
  <c r="C819" i="1"/>
  <c r="D819" i="1"/>
  <c r="E819" i="1"/>
  <c r="F819" i="1"/>
  <c r="G819" i="1"/>
  <c r="H819" i="1"/>
  <c r="I819" i="1"/>
  <c r="J819" i="1"/>
  <c r="K819" i="1"/>
  <c r="A820" i="1"/>
  <c r="B820" i="1"/>
  <c r="C820" i="1"/>
  <c r="D820" i="1"/>
  <c r="E820" i="1"/>
  <c r="F820" i="1"/>
  <c r="G820" i="1"/>
  <c r="H820" i="1"/>
  <c r="I820" i="1"/>
  <c r="J820" i="1"/>
  <c r="K820" i="1"/>
  <c r="A821" i="1"/>
  <c r="B821" i="1"/>
  <c r="C821" i="1"/>
  <c r="D821" i="1"/>
  <c r="E821" i="1"/>
  <c r="F821" i="1"/>
  <c r="G821" i="1"/>
  <c r="H821" i="1"/>
  <c r="I821" i="1"/>
  <c r="J821" i="1"/>
  <c r="K821" i="1"/>
  <c r="A822" i="1"/>
  <c r="B822" i="1"/>
  <c r="C822" i="1"/>
  <c r="D822" i="1"/>
  <c r="E822" i="1"/>
  <c r="F822" i="1"/>
  <c r="G822" i="1"/>
  <c r="H822" i="1"/>
  <c r="I822" i="1"/>
  <c r="J822" i="1"/>
  <c r="K822" i="1"/>
  <c r="A823" i="1"/>
  <c r="B823" i="1"/>
  <c r="C823" i="1"/>
  <c r="D823" i="1"/>
  <c r="E823" i="1"/>
  <c r="F823" i="1"/>
  <c r="G823" i="1"/>
  <c r="H823" i="1"/>
  <c r="I823" i="1"/>
  <c r="J823" i="1"/>
  <c r="K823" i="1"/>
  <c r="A824" i="1"/>
  <c r="B824" i="1"/>
  <c r="C824" i="1"/>
  <c r="D824" i="1"/>
  <c r="E824" i="1"/>
  <c r="F824" i="1"/>
  <c r="G824" i="1"/>
  <c r="H824" i="1"/>
  <c r="I824" i="1"/>
  <c r="J824" i="1"/>
  <c r="K824" i="1"/>
  <c r="A825" i="1"/>
  <c r="B825" i="1"/>
  <c r="C825" i="1"/>
  <c r="D825" i="1"/>
  <c r="E825" i="1"/>
  <c r="F825" i="1"/>
  <c r="G825" i="1"/>
  <c r="H825" i="1"/>
  <c r="I825" i="1"/>
  <c r="J825" i="1"/>
  <c r="K825" i="1"/>
  <c r="A826" i="1"/>
  <c r="B826" i="1"/>
  <c r="C826" i="1"/>
  <c r="D826" i="1"/>
  <c r="E826" i="1"/>
  <c r="F826" i="1"/>
  <c r="G826" i="1"/>
  <c r="H826" i="1"/>
  <c r="I826" i="1"/>
  <c r="J826" i="1"/>
  <c r="K826" i="1"/>
  <c r="A827" i="1"/>
  <c r="B827" i="1"/>
  <c r="C827" i="1"/>
  <c r="D827" i="1"/>
  <c r="E827" i="1"/>
  <c r="F827" i="1"/>
  <c r="G827" i="1"/>
  <c r="H827" i="1"/>
  <c r="I827" i="1"/>
  <c r="J827" i="1"/>
  <c r="K827" i="1"/>
  <c r="A828" i="1"/>
  <c r="B828" i="1"/>
  <c r="C828" i="1"/>
  <c r="D828" i="1"/>
  <c r="E828" i="1"/>
  <c r="F828" i="1"/>
  <c r="G828" i="1"/>
  <c r="H828" i="1"/>
  <c r="I828" i="1"/>
  <c r="J828" i="1"/>
  <c r="K828" i="1"/>
  <c r="A829" i="1"/>
  <c r="B829" i="1"/>
  <c r="C829" i="1"/>
  <c r="D829" i="1"/>
  <c r="E829" i="1"/>
  <c r="F829" i="1"/>
  <c r="G829" i="1"/>
  <c r="H829" i="1"/>
  <c r="I829" i="1"/>
  <c r="J829" i="1"/>
  <c r="K829" i="1"/>
  <c r="A830" i="1"/>
  <c r="B830" i="1"/>
  <c r="C830" i="1"/>
  <c r="D830" i="1"/>
  <c r="E830" i="1"/>
  <c r="F830" i="1"/>
  <c r="G830" i="1"/>
  <c r="H830" i="1"/>
  <c r="I830" i="1"/>
  <c r="J830" i="1"/>
  <c r="K830" i="1"/>
  <c r="A831" i="1"/>
  <c r="B831" i="1"/>
  <c r="C831" i="1"/>
  <c r="D831" i="1"/>
  <c r="E831" i="1"/>
  <c r="F831" i="1"/>
  <c r="G831" i="1"/>
  <c r="H831" i="1"/>
  <c r="I831" i="1"/>
  <c r="J831" i="1"/>
  <c r="K831" i="1"/>
  <c r="A832" i="1"/>
  <c r="B832" i="1"/>
  <c r="C832" i="1"/>
  <c r="D832" i="1"/>
  <c r="E832" i="1"/>
  <c r="F832" i="1"/>
  <c r="G832" i="1"/>
  <c r="H832" i="1"/>
  <c r="I832" i="1"/>
  <c r="J832" i="1"/>
  <c r="K832" i="1"/>
  <c r="A833" i="1"/>
  <c r="B833" i="1"/>
  <c r="C833" i="1"/>
  <c r="D833" i="1"/>
  <c r="E833" i="1"/>
  <c r="F833" i="1"/>
  <c r="G833" i="1"/>
  <c r="H833" i="1"/>
  <c r="I833" i="1"/>
  <c r="J833" i="1"/>
  <c r="K833" i="1"/>
  <c r="A834" i="1"/>
  <c r="B834" i="1"/>
  <c r="C834" i="1"/>
  <c r="D834" i="1"/>
  <c r="E834" i="1"/>
  <c r="F834" i="1"/>
  <c r="G834" i="1"/>
  <c r="H834" i="1"/>
  <c r="I834" i="1"/>
  <c r="J834" i="1"/>
  <c r="K834" i="1"/>
  <c r="A835" i="1"/>
  <c r="B835" i="1"/>
  <c r="C835" i="1"/>
  <c r="D835" i="1"/>
  <c r="E835" i="1"/>
  <c r="F835" i="1"/>
  <c r="G835" i="1"/>
  <c r="H835" i="1"/>
  <c r="I835" i="1"/>
  <c r="J835" i="1"/>
  <c r="K835" i="1"/>
  <c r="A836" i="1"/>
  <c r="B836" i="1"/>
  <c r="C836" i="1"/>
  <c r="D836" i="1"/>
  <c r="E836" i="1"/>
  <c r="F836" i="1"/>
  <c r="G836" i="1"/>
  <c r="H836" i="1"/>
  <c r="I836" i="1"/>
  <c r="J836" i="1"/>
  <c r="K836" i="1"/>
  <c r="A837" i="1"/>
  <c r="B837" i="1"/>
  <c r="C837" i="1"/>
  <c r="D837" i="1"/>
  <c r="E837" i="1"/>
  <c r="F837" i="1"/>
  <c r="G837" i="1"/>
  <c r="H837" i="1"/>
  <c r="I837" i="1"/>
  <c r="J837" i="1"/>
  <c r="K837" i="1"/>
  <c r="A838" i="1"/>
  <c r="B838" i="1"/>
  <c r="C838" i="1"/>
  <c r="D838" i="1"/>
  <c r="E838" i="1"/>
  <c r="F838" i="1"/>
  <c r="G838" i="1"/>
  <c r="H838" i="1"/>
  <c r="I838" i="1"/>
  <c r="J838" i="1"/>
  <c r="K838" i="1"/>
  <c r="A839" i="1"/>
  <c r="B839" i="1"/>
  <c r="C839" i="1"/>
  <c r="D839" i="1"/>
  <c r="E839" i="1"/>
  <c r="F839" i="1"/>
  <c r="G839" i="1"/>
  <c r="H839" i="1"/>
  <c r="I839" i="1"/>
  <c r="J839" i="1"/>
  <c r="K839" i="1"/>
  <c r="A840" i="1"/>
  <c r="B840" i="1"/>
  <c r="C840" i="1"/>
  <c r="D840" i="1"/>
  <c r="E840" i="1"/>
  <c r="F840" i="1"/>
  <c r="G840" i="1"/>
  <c r="H840" i="1"/>
  <c r="I840" i="1"/>
  <c r="J840" i="1"/>
  <c r="K840" i="1"/>
  <c r="A841" i="1"/>
  <c r="B841" i="1"/>
  <c r="C841" i="1"/>
  <c r="D841" i="1"/>
  <c r="E841" i="1"/>
  <c r="F841" i="1"/>
  <c r="G841" i="1"/>
  <c r="H841" i="1"/>
  <c r="I841" i="1"/>
  <c r="J841" i="1"/>
  <c r="K841" i="1"/>
  <c r="A842" i="1"/>
  <c r="B842" i="1"/>
  <c r="C842" i="1"/>
  <c r="D842" i="1"/>
  <c r="E842" i="1"/>
  <c r="F842" i="1"/>
  <c r="G842" i="1"/>
  <c r="H842" i="1"/>
  <c r="I842" i="1"/>
  <c r="J842" i="1"/>
  <c r="K842" i="1"/>
  <c r="A843" i="1"/>
  <c r="B843" i="1"/>
  <c r="C843" i="1"/>
  <c r="D843" i="1"/>
  <c r="E843" i="1"/>
  <c r="F843" i="1"/>
  <c r="G843" i="1"/>
  <c r="H843" i="1"/>
  <c r="I843" i="1"/>
  <c r="J843" i="1"/>
  <c r="K843" i="1"/>
  <c r="A844" i="1"/>
  <c r="B844" i="1"/>
  <c r="C844" i="1"/>
  <c r="D844" i="1"/>
  <c r="E844" i="1"/>
  <c r="F844" i="1"/>
  <c r="G844" i="1"/>
  <c r="H844" i="1"/>
  <c r="I844" i="1"/>
  <c r="J844" i="1"/>
  <c r="K844" i="1"/>
  <c r="A845" i="1"/>
  <c r="B845" i="1"/>
  <c r="C845" i="1"/>
  <c r="D845" i="1"/>
  <c r="E845" i="1"/>
  <c r="F845" i="1"/>
  <c r="G845" i="1"/>
  <c r="H845" i="1"/>
  <c r="I845" i="1"/>
  <c r="J845" i="1"/>
  <c r="K845" i="1"/>
  <c r="A846" i="1"/>
  <c r="B846" i="1"/>
  <c r="C846" i="1"/>
  <c r="D846" i="1"/>
  <c r="E846" i="1"/>
  <c r="F846" i="1"/>
  <c r="G846" i="1"/>
  <c r="H846" i="1"/>
  <c r="I846" i="1"/>
  <c r="J846" i="1"/>
  <c r="K846" i="1"/>
  <c r="A847" i="1"/>
  <c r="B847" i="1"/>
  <c r="C847" i="1"/>
  <c r="D847" i="1"/>
  <c r="E847" i="1"/>
  <c r="F847" i="1"/>
  <c r="G847" i="1"/>
  <c r="H847" i="1"/>
  <c r="I847" i="1"/>
  <c r="J847" i="1"/>
  <c r="K847" i="1"/>
  <c r="A848" i="1"/>
  <c r="B848" i="1"/>
  <c r="C848" i="1"/>
  <c r="D848" i="1"/>
  <c r="E848" i="1"/>
  <c r="F848" i="1"/>
  <c r="G848" i="1"/>
  <c r="H848" i="1"/>
  <c r="I848" i="1"/>
  <c r="J848" i="1"/>
  <c r="K848" i="1"/>
  <c r="A849" i="1"/>
  <c r="B849" i="1"/>
  <c r="C849" i="1"/>
  <c r="D849" i="1"/>
  <c r="E849" i="1"/>
  <c r="F849" i="1"/>
  <c r="G849" i="1"/>
  <c r="H849" i="1"/>
  <c r="I849" i="1"/>
  <c r="J849" i="1"/>
  <c r="K849" i="1"/>
  <c r="A850" i="1"/>
  <c r="B850" i="1"/>
  <c r="C850" i="1"/>
  <c r="D850" i="1"/>
  <c r="E850" i="1"/>
  <c r="F850" i="1"/>
  <c r="G850" i="1"/>
  <c r="H850" i="1"/>
  <c r="I850" i="1"/>
  <c r="J850" i="1"/>
  <c r="K850" i="1"/>
  <c r="A851" i="1"/>
  <c r="B851" i="1"/>
  <c r="C851" i="1"/>
  <c r="D851" i="1"/>
  <c r="E851" i="1"/>
  <c r="F851" i="1"/>
  <c r="G851" i="1"/>
  <c r="H851" i="1"/>
  <c r="I851" i="1"/>
  <c r="J851" i="1"/>
  <c r="K851" i="1"/>
  <c r="A852" i="1"/>
  <c r="B852" i="1"/>
  <c r="C852" i="1"/>
  <c r="D852" i="1"/>
  <c r="E852" i="1"/>
  <c r="F852" i="1"/>
  <c r="G852" i="1"/>
  <c r="H852" i="1"/>
  <c r="I852" i="1"/>
  <c r="J852" i="1"/>
  <c r="K852" i="1"/>
  <c r="A853" i="1"/>
  <c r="B853" i="1"/>
  <c r="C853" i="1"/>
  <c r="D853" i="1"/>
  <c r="E853" i="1"/>
  <c r="F853" i="1"/>
  <c r="G853" i="1"/>
  <c r="H853" i="1"/>
  <c r="I853" i="1"/>
  <c r="J853" i="1"/>
  <c r="K853" i="1"/>
  <c r="A854" i="1"/>
  <c r="B854" i="1"/>
  <c r="C854" i="1"/>
  <c r="D854" i="1"/>
  <c r="E854" i="1"/>
  <c r="F854" i="1"/>
  <c r="G854" i="1"/>
  <c r="H854" i="1"/>
  <c r="I854" i="1"/>
  <c r="J854" i="1"/>
  <c r="K854" i="1"/>
  <c r="A855" i="1"/>
  <c r="B855" i="1"/>
  <c r="C855" i="1"/>
  <c r="D855" i="1"/>
  <c r="E855" i="1"/>
  <c r="F855" i="1"/>
  <c r="G855" i="1"/>
  <c r="H855" i="1"/>
  <c r="I855" i="1"/>
  <c r="J855" i="1"/>
  <c r="K855" i="1"/>
  <c r="A856" i="1"/>
  <c r="B856" i="1"/>
  <c r="C856" i="1"/>
  <c r="D856" i="1"/>
  <c r="E856" i="1"/>
  <c r="F856" i="1"/>
  <c r="G856" i="1"/>
  <c r="H856" i="1"/>
  <c r="I856" i="1"/>
  <c r="J856" i="1"/>
  <c r="K856" i="1"/>
  <c r="A857" i="1"/>
  <c r="B857" i="1"/>
  <c r="C857" i="1"/>
  <c r="D857" i="1"/>
  <c r="E857" i="1"/>
  <c r="F857" i="1"/>
  <c r="G857" i="1"/>
  <c r="H857" i="1"/>
  <c r="I857" i="1"/>
  <c r="J857" i="1"/>
  <c r="K857" i="1"/>
  <c r="A858" i="1"/>
  <c r="B858" i="1"/>
  <c r="C858" i="1"/>
  <c r="D858" i="1"/>
  <c r="E858" i="1"/>
  <c r="F858" i="1"/>
  <c r="G858" i="1"/>
  <c r="H858" i="1"/>
  <c r="I858" i="1"/>
  <c r="J858" i="1"/>
  <c r="K858" i="1"/>
  <c r="A859" i="1"/>
  <c r="B859" i="1"/>
  <c r="C859" i="1"/>
  <c r="D859" i="1"/>
  <c r="E859" i="1"/>
  <c r="F859" i="1"/>
  <c r="G859" i="1"/>
  <c r="H859" i="1"/>
  <c r="I859" i="1"/>
  <c r="J859" i="1"/>
  <c r="K859" i="1"/>
  <c r="A860" i="1"/>
  <c r="B860" i="1"/>
  <c r="C860" i="1"/>
  <c r="D860" i="1"/>
  <c r="E860" i="1"/>
  <c r="F860" i="1"/>
  <c r="G860" i="1"/>
  <c r="H860" i="1"/>
  <c r="I860" i="1"/>
  <c r="J860" i="1"/>
  <c r="K860" i="1"/>
  <c r="A861" i="1"/>
  <c r="B861" i="1"/>
  <c r="C861" i="1"/>
  <c r="D861" i="1"/>
  <c r="E861" i="1"/>
  <c r="F861" i="1"/>
  <c r="G861" i="1"/>
  <c r="H861" i="1"/>
  <c r="I861" i="1"/>
  <c r="J861" i="1"/>
  <c r="K861" i="1"/>
  <c r="A862" i="1"/>
  <c r="B862" i="1"/>
  <c r="C862" i="1"/>
  <c r="D862" i="1"/>
  <c r="E862" i="1"/>
  <c r="F862" i="1"/>
  <c r="G862" i="1"/>
  <c r="H862" i="1"/>
  <c r="I862" i="1"/>
  <c r="J862" i="1"/>
  <c r="K862" i="1"/>
  <c r="A863" i="1"/>
  <c r="B863" i="1"/>
  <c r="C863" i="1"/>
  <c r="D863" i="1"/>
  <c r="E863" i="1"/>
  <c r="F863" i="1"/>
  <c r="G863" i="1"/>
  <c r="H863" i="1"/>
  <c r="I863" i="1"/>
  <c r="J863" i="1"/>
  <c r="K863" i="1"/>
  <c r="A864" i="1"/>
  <c r="B864" i="1"/>
  <c r="C864" i="1"/>
  <c r="D864" i="1"/>
  <c r="E864" i="1"/>
  <c r="F864" i="1"/>
  <c r="G864" i="1"/>
  <c r="H864" i="1"/>
  <c r="I864" i="1"/>
  <c r="J864" i="1"/>
  <c r="K864" i="1"/>
  <c r="A865" i="1"/>
  <c r="B865" i="1"/>
  <c r="C865" i="1"/>
  <c r="D865" i="1"/>
  <c r="E865" i="1"/>
  <c r="F865" i="1"/>
  <c r="G865" i="1"/>
  <c r="H865" i="1"/>
  <c r="I865" i="1"/>
  <c r="J865" i="1"/>
  <c r="K865" i="1"/>
  <c r="A866" i="1"/>
  <c r="B866" i="1"/>
  <c r="C866" i="1"/>
  <c r="D866" i="1"/>
  <c r="E866" i="1"/>
  <c r="F866" i="1"/>
  <c r="G866" i="1"/>
  <c r="H866" i="1"/>
  <c r="I866" i="1"/>
  <c r="J866" i="1"/>
  <c r="K866" i="1"/>
  <c r="A867" i="1"/>
  <c r="B867" i="1"/>
  <c r="C867" i="1"/>
  <c r="D867" i="1"/>
  <c r="E867" i="1"/>
  <c r="F867" i="1"/>
  <c r="G867" i="1"/>
  <c r="H867" i="1"/>
  <c r="I867" i="1"/>
  <c r="J867" i="1"/>
  <c r="K867" i="1"/>
  <c r="A868" i="1"/>
  <c r="B868" i="1"/>
  <c r="C868" i="1"/>
  <c r="D868" i="1"/>
  <c r="E868" i="1"/>
  <c r="F868" i="1"/>
  <c r="G868" i="1"/>
  <c r="H868" i="1"/>
  <c r="I868" i="1"/>
  <c r="J868" i="1"/>
  <c r="K868" i="1"/>
  <c r="A869" i="1"/>
  <c r="B869" i="1"/>
  <c r="C869" i="1"/>
  <c r="D869" i="1"/>
  <c r="E869" i="1"/>
  <c r="F869" i="1"/>
  <c r="G869" i="1"/>
  <c r="H869" i="1"/>
  <c r="I869" i="1"/>
  <c r="J869" i="1"/>
  <c r="K869" i="1"/>
  <c r="A870" i="1"/>
  <c r="B870" i="1"/>
  <c r="C870" i="1"/>
  <c r="D870" i="1"/>
  <c r="E870" i="1"/>
  <c r="F870" i="1"/>
  <c r="G870" i="1"/>
  <c r="H870" i="1"/>
  <c r="I870" i="1"/>
  <c r="J870" i="1"/>
  <c r="K870" i="1"/>
  <c r="A871" i="1"/>
  <c r="B871" i="1"/>
  <c r="C871" i="1"/>
  <c r="D871" i="1"/>
  <c r="E871" i="1"/>
  <c r="F871" i="1"/>
  <c r="G871" i="1"/>
  <c r="H871" i="1"/>
  <c r="I871" i="1"/>
  <c r="J871" i="1"/>
  <c r="K871" i="1"/>
  <c r="A872" i="1"/>
  <c r="B872" i="1"/>
  <c r="C872" i="1"/>
  <c r="D872" i="1"/>
  <c r="E872" i="1"/>
  <c r="F872" i="1"/>
  <c r="G872" i="1"/>
  <c r="H872" i="1"/>
  <c r="I872" i="1"/>
  <c r="J872" i="1"/>
  <c r="K872" i="1"/>
  <c r="A873" i="1"/>
  <c r="B873" i="1"/>
  <c r="C873" i="1"/>
  <c r="D873" i="1"/>
  <c r="E873" i="1"/>
  <c r="F873" i="1"/>
  <c r="G873" i="1"/>
  <c r="H873" i="1"/>
  <c r="I873" i="1"/>
  <c r="J873" i="1"/>
  <c r="K873" i="1"/>
  <c r="A874" i="1"/>
  <c r="B874" i="1"/>
  <c r="C874" i="1"/>
  <c r="D874" i="1"/>
  <c r="E874" i="1"/>
  <c r="F874" i="1"/>
  <c r="G874" i="1"/>
  <c r="H874" i="1"/>
  <c r="I874" i="1"/>
  <c r="J874" i="1"/>
  <c r="K874" i="1"/>
  <c r="A875" i="1"/>
  <c r="B875" i="1"/>
  <c r="C875" i="1"/>
  <c r="D875" i="1"/>
  <c r="E875" i="1"/>
  <c r="F875" i="1"/>
  <c r="G875" i="1"/>
  <c r="H875" i="1"/>
  <c r="I875" i="1"/>
  <c r="J875" i="1"/>
  <c r="K875" i="1"/>
  <c r="A876" i="1"/>
  <c r="B876" i="1"/>
  <c r="C876" i="1"/>
  <c r="D876" i="1"/>
  <c r="E876" i="1"/>
  <c r="F876" i="1"/>
  <c r="G876" i="1"/>
  <c r="H876" i="1"/>
  <c r="I876" i="1"/>
  <c r="J876" i="1"/>
  <c r="K876" i="1"/>
  <c r="A877" i="1"/>
  <c r="B877" i="1"/>
  <c r="C877" i="1"/>
  <c r="D877" i="1"/>
  <c r="E877" i="1"/>
  <c r="F877" i="1"/>
  <c r="G877" i="1"/>
  <c r="H877" i="1"/>
  <c r="I877" i="1"/>
  <c r="J877" i="1"/>
  <c r="K877" i="1"/>
  <c r="A878" i="1"/>
  <c r="B878" i="1"/>
  <c r="C878" i="1"/>
  <c r="D878" i="1"/>
  <c r="E878" i="1"/>
  <c r="F878" i="1"/>
  <c r="G878" i="1"/>
  <c r="H878" i="1"/>
  <c r="I878" i="1"/>
  <c r="J878" i="1"/>
  <c r="K878" i="1"/>
  <c r="A879" i="1"/>
  <c r="B879" i="1"/>
  <c r="C879" i="1"/>
  <c r="D879" i="1"/>
  <c r="E879" i="1"/>
  <c r="F879" i="1"/>
  <c r="G879" i="1"/>
  <c r="H879" i="1"/>
  <c r="I879" i="1"/>
  <c r="J879" i="1"/>
  <c r="K879" i="1"/>
  <c r="A880" i="1"/>
  <c r="B880" i="1"/>
  <c r="C880" i="1"/>
  <c r="D880" i="1"/>
  <c r="E880" i="1"/>
  <c r="F880" i="1"/>
  <c r="G880" i="1"/>
  <c r="H880" i="1"/>
  <c r="I880" i="1"/>
  <c r="J880" i="1"/>
  <c r="K880" i="1"/>
  <c r="A881" i="1"/>
  <c r="B881" i="1"/>
  <c r="C881" i="1"/>
  <c r="D881" i="1"/>
  <c r="E881" i="1"/>
  <c r="F881" i="1"/>
  <c r="G881" i="1"/>
  <c r="H881" i="1"/>
  <c r="I881" i="1"/>
  <c r="J881" i="1"/>
  <c r="K881" i="1"/>
  <c r="A882" i="1"/>
  <c r="B882" i="1"/>
  <c r="C882" i="1"/>
  <c r="D882" i="1"/>
  <c r="E882" i="1"/>
  <c r="F882" i="1"/>
  <c r="G882" i="1"/>
  <c r="H882" i="1"/>
  <c r="I882" i="1"/>
  <c r="J882" i="1"/>
  <c r="K882" i="1"/>
  <c r="A883" i="1"/>
  <c r="B883" i="1"/>
  <c r="C883" i="1"/>
  <c r="D883" i="1"/>
  <c r="E883" i="1"/>
  <c r="F883" i="1"/>
  <c r="G883" i="1"/>
  <c r="H883" i="1"/>
  <c r="I883" i="1"/>
  <c r="J883" i="1"/>
  <c r="K883" i="1"/>
  <c r="A884" i="1"/>
  <c r="B884" i="1"/>
  <c r="C884" i="1"/>
  <c r="D884" i="1"/>
  <c r="E884" i="1"/>
  <c r="F884" i="1"/>
  <c r="G884" i="1"/>
  <c r="H884" i="1"/>
  <c r="I884" i="1"/>
  <c r="J884" i="1"/>
  <c r="K884" i="1"/>
  <c r="A885" i="1"/>
  <c r="B885" i="1"/>
  <c r="C885" i="1"/>
  <c r="D885" i="1"/>
  <c r="E885" i="1"/>
  <c r="F885" i="1"/>
  <c r="G885" i="1"/>
  <c r="H885" i="1"/>
  <c r="I885" i="1"/>
  <c r="J885" i="1"/>
  <c r="K885" i="1"/>
  <c r="A886" i="1"/>
  <c r="B886" i="1"/>
  <c r="C886" i="1"/>
  <c r="D886" i="1"/>
  <c r="E886" i="1"/>
  <c r="F886" i="1"/>
  <c r="G886" i="1"/>
  <c r="H886" i="1"/>
  <c r="I886" i="1"/>
  <c r="J886" i="1"/>
  <c r="K886" i="1"/>
  <c r="A887" i="1"/>
  <c r="B887" i="1"/>
  <c r="C887" i="1"/>
  <c r="D887" i="1"/>
  <c r="E887" i="1"/>
  <c r="F887" i="1"/>
  <c r="G887" i="1"/>
  <c r="H887" i="1"/>
  <c r="I887" i="1"/>
  <c r="J887" i="1"/>
  <c r="K887" i="1"/>
  <c r="A888" i="1"/>
  <c r="B888" i="1"/>
  <c r="C888" i="1"/>
  <c r="D888" i="1"/>
  <c r="E888" i="1"/>
  <c r="F888" i="1"/>
  <c r="G888" i="1"/>
  <c r="H888" i="1"/>
  <c r="I888" i="1"/>
  <c r="J888" i="1"/>
  <c r="K888" i="1"/>
  <c r="A889" i="1"/>
  <c r="B889" i="1"/>
  <c r="C889" i="1"/>
  <c r="D889" i="1"/>
  <c r="E889" i="1"/>
  <c r="F889" i="1"/>
  <c r="G889" i="1"/>
  <c r="H889" i="1"/>
  <c r="I889" i="1"/>
  <c r="J889" i="1"/>
  <c r="K889" i="1"/>
  <c r="A890" i="1"/>
  <c r="B890" i="1"/>
  <c r="C890" i="1"/>
  <c r="D890" i="1"/>
  <c r="E890" i="1"/>
  <c r="F890" i="1"/>
  <c r="G890" i="1"/>
  <c r="H890" i="1"/>
  <c r="I890" i="1"/>
  <c r="J890" i="1"/>
  <c r="K890" i="1"/>
  <c r="A891" i="1"/>
  <c r="B891" i="1"/>
  <c r="C891" i="1"/>
  <c r="D891" i="1"/>
  <c r="E891" i="1"/>
  <c r="F891" i="1"/>
  <c r="G891" i="1"/>
  <c r="H891" i="1"/>
  <c r="I891" i="1"/>
  <c r="J891" i="1"/>
  <c r="K891" i="1"/>
  <c r="A892" i="1"/>
  <c r="B892" i="1"/>
  <c r="C892" i="1"/>
  <c r="D892" i="1"/>
  <c r="E892" i="1"/>
  <c r="F892" i="1"/>
  <c r="G892" i="1"/>
  <c r="H892" i="1"/>
  <c r="I892" i="1"/>
  <c r="J892" i="1"/>
  <c r="K892" i="1"/>
  <c r="A893" i="1"/>
  <c r="B893" i="1"/>
  <c r="C893" i="1"/>
  <c r="D893" i="1"/>
  <c r="E893" i="1"/>
  <c r="F893" i="1"/>
  <c r="G893" i="1"/>
  <c r="H893" i="1"/>
  <c r="I893" i="1"/>
  <c r="J893" i="1"/>
  <c r="K893" i="1"/>
  <c r="A894" i="1"/>
  <c r="B894" i="1"/>
  <c r="C894" i="1"/>
  <c r="D894" i="1"/>
  <c r="E894" i="1"/>
  <c r="F894" i="1"/>
  <c r="G894" i="1"/>
  <c r="H894" i="1"/>
  <c r="I894" i="1"/>
  <c r="J894" i="1"/>
  <c r="K894" i="1"/>
  <c r="A895" i="1"/>
  <c r="B895" i="1"/>
  <c r="C895" i="1"/>
  <c r="D895" i="1"/>
  <c r="E895" i="1"/>
  <c r="F895" i="1"/>
  <c r="G895" i="1"/>
  <c r="H895" i="1"/>
  <c r="I895" i="1"/>
  <c r="J895" i="1"/>
  <c r="K895" i="1"/>
  <c r="A896" i="1"/>
  <c r="B896" i="1"/>
  <c r="C896" i="1"/>
  <c r="D896" i="1"/>
  <c r="E896" i="1"/>
  <c r="F896" i="1"/>
  <c r="G896" i="1"/>
  <c r="H896" i="1"/>
  <c r="I896" i="1"/>
  <c r="J896" i="1"/>
  <c r="K896" i="1"/>
  <c r="A897" i="1"/>
  <c r="B897" i="1"/>
  <c r="C897" i="1"/>
  <c r="D897" i="1"/>
  <c r="E897" i="1"/>
  <c r="F897" i="1"/>
  <c r="G897" i="1"/>
  <c r="H897" i="1"/>
  <c r="I897" i="1"/>
  <c r="J897" i="1"/>
  <c r="K897" i="1"/>
  <c r="A898" i="1"/>
  <c r="B898" i="1"/>
  <c r="C898" i="1"/>
  <c r="D898" i="1"/>
  <c r="E898" i="1"/>
  <c r="F898" i="1"/>
  <c r="G898" i="1"/>
  <c r="H898" i="1"/>
  <c r="I898" i="1"/>
  <c r="J898" i="1"/>
  <c r="K898" i="1"/>
  <c r="A899" i="1"/>
  <c r="B899" i="1"/>
  <c r="C899" i="1"/>
  <c r="D899" i="1"/>
  <c r="E899" i="1"/>
  <c r="F899" i="1"/>
  <c r="G899" i="1"/>
  <c r="H899" i="1"/>
  <c r="I899" i="1"/>
  <c r="J899" i="1"/>
  <c r="K899" i="1"/>
  <c r="A900" i="1"/>
  <c r="B900" i="1"/>
  <c r="C900" i="1"/>
  <c r="D900" i="1"/>
  <c r="E900" i="1"/>
  <c r="F900" i="1"/>
  <c r="G900" i="1"/>
  <c r="H900" i="1"/>
  <c r="I900" i="1"/>
  <c r="J900" i="1"/>
  <c r="K900" i="1"/>
  <c r="A901" i="1"/>
  <c r="B901" i="1"/>
  <c r="C901" i="1"/>
  <c r="D901" i="1"/>
  <c r="E901" i="1"/>
  <c r="F901" i="1"/>
  <c r="G901" i="1"/>
  <c r="H901" i="1"/>
  <c r="I901" i="1"/>
  <c r="J901" i="1"/>
  <c r="K901" i="1"/>
  <c r="A902" i="1"/>
  <c r="B902" i="1"/>
  <c r="C902" i="1"/>
  <c r="D902" i="1"/>
  <c r="E902" i="1"/>
  <c r="F902" i="1"/>
  <c r="G902" i="1"/>
  <c r="H902" i="1"/>
  <c r="I902" i="1"/>
  <c r="J902" i="1"/>
  <c r="K902" i="1"/>
  <c r="A903" i="1"/>
  <c r="B903" i="1"/>
  <c r="C903" i="1"/>
  <c r="D903" i="1"/>
  <c r="E903" i="1"/>
  <c r="F903" i="1"/>
  <c r="G903" i="1"/>
  <c r="H903" i="1"/>
  <c r="I903" i="1"/>
  <c r="J903" i="1"/>
  <c r="K903" i="1"/>
  <c r="A904" i="1"/>
  <c r="B904" i="1"/>
  <c r="C904" i="1"/>
  <c r="D904" i="1"/>
  <c r="E904" i="1"/>
  <c r="F904" i="1"/>
  <c r="G904" i="1"/>
  <c r="H904" i="1"/>
  <c r="I904" i="1"/>
  <c r="J904" i="1"/>
  <c r="K904" i="1"/>
  <c r="A905" i="1"/>
  <c r="B905" i="1"/>
  <c r="C905" i="1"/>
  <c r="D905" i="1"/>
  <c r="E905" i="1"/>
  <c r="F905" i="1"/>
  <c r="G905" i="1"/>
  <c r="H905" i="1"/>
  <c r="I905" i="1"/>
  <c r="J905" i="1"/>
  <c r="K905" i="1"/>
  <c r="A906" i="1"/>
  <c r="B906" i="1"/>
  <c r="C906" i="1"/>
  <c r="D906" i="1"/>
  <c r="E906" i="1"/>
  <c r="F906" i="1"/>
  <c r="G906" i="1"/>
  <c r="H906" i="1"/>
  <c r="I906" i="1"/>
  <c r="J906" i="1"/>
  <c r="K906" i="1"/>
  <c r="A907" i="1"/>
  <c r="B907" i="1"/>
  <c r="C907" i="1"/>
  <c r="D907" i="1"/>
  <c r="E907" i="1"/>
  <c r="F907" i="1"/>
  <c r="G907" i="1"/>
  <c r="H907" i="1"/>
  <c r="I907" i="1"/>
  <c r="J907" i="1"/>
  <c r="K907" i="1"/>
  <c r="A908" i="1"/>
  <c r="B908" i="1"/>
  <c r="C908" i="1"/>
  <c r="D908" i="1"/>
  <c r="E908" i="1"/>
  <c r="F908" i="1"/>
  <c r="G908" i="1"/>
  <c r="H908" i="1"/>
  <c r="I908" i="1"/>
  <c r="J908" i="1"/>
  <c r="K908" i="1"/>
  <c r="A909" i="1"/>
  <c r="B909" i="1"/>
  <c r="C909" i="1"/>
  <c r="D909" i="1"/>
  <c r="E909" i="1"/>
  <c r="F909" i="1"/>
  <c r="G909" i="1"/>
  <c r="H909" i="1"/>
  <c r="I909" i="1"/>
  <c r="J909" i="1"/>
  <c r="K909" i="1"/>
  <c r="A910" i="1"/>
  <c r="B910" i="1"/>
  <c r="C910" i="1"/>
  <c r="D910" i="1"/>
  <c r="E910" i="1"/>
  <c r="F910" i="1"/>
  <c r="G910" i="1"/>
  <c r="H910" i="1"/>
  <c r="I910" i="1"/>
  <c r="J910" i="1"/>
  <c r="K910" i="1"/>
  <c r="A911" i="1"/>
  <c r="B911" i="1"/>
  <c r="C911" i="1"/>
  <c r="D911" i="1"/>
  <c r="E911" i="1"/>
  <c r="F911" i="1"/>
  <c r="G911" i="1"/>
  <c r="H911" i="1"/>
  <c r="I911" i="1"/>
  <c r="J911" i="1"/>
  <c r="K911" i="1"/>
  <c r="A912" i="1"/>
  <c r="B912" i="1"/>
  <c r="C912" i="1"/>
  <c r="D912" i="1"/>
  <c r="E912" i="1"/>
  <c r="F912" i="1"/>
  <c r="G912" i="1"/>
  <c r="H912" i="1"/>
  <c r="I912" i="1"/>
  <c r="J912" i="1"/>
  <c r="K912" i="1"/>
  <c r="A913" i="1"/>
  <c r="B913" i="1"/>
  <c r="C913" i="1"/>
  <c r="D913" i="1"/>
  <c r="E913" i="1"/>
  <c r="F913" i="1"/>
  <c r="G913" i="1"/>
  <c r="H913" i="1"/>
  <c r="I913" i="1"/>
  <c r="J913" i="1"/>
  <c r="K913" i="1"/>
  <c r="A914" i="1"/>
  <c r="B914" i="1"/>
  <c r="C914" i="1"/>
  <c r="D914" i="1"/>
  <c r="E914" i="1"/>
  <c r="F914" i="1"/>
  <c r="G914" i="1"/>
  <c r="H914" i="1"/>
  <c r="I914" i="1"/>
  <c r="J914" i="1"/>
  <c r="K914" i="1"/>
  <c r="A915" i="1"/>
  <c r="B915" i="1"/>
  <c r="C915" i="1"/>
  <c r="D915" i="1"/>
  <c r="E915" i="1"/>
  <c r="F915" i="1"/>
  <c r="G915" i="1"/>
  <c r="H915" i="1"/>
  <c r="I915" i="1"/>
  <c r="J915" i="1"/>
  <c r="K915" i="1"/>
  <c r="A916" i="1"/>
  <c r="B916" i="1"/>
  <c r="C916" i="1"/>
  <c r="D916" i="1"/>
  <c r="E916" i="1"/>
  <c r="F916" i="1"/>
  <c r="G916" i="1"/>
  <c r="H916" i="1"/>
  <c r="I916" i="1"/>
  <c r="J916" i="1"/>
  <c r="K916" i="1"/>
  <c r="A917" i="1"/>
  <c r="B917" i="1"/>
  <c r="C917" i="1"/>
  <c r="D917" i="1"/>
  <c r="E917" i="1"/>
  <c r="F917" i="1"/>
  <c r="G917" i="1"/>
  <c r="H917" i="1"/>
  <c r="I917" i="1"/>
  <c r="J917" i="1"/>
  <c r="K917" i="1"/>
  <c r="A918" i="1"/>
  <c r="B918" i="1"/>
  <c r="C918" i="1"/>
  <c r="D918" i="1"/>
  <c r="E918" i="1"/>
  <c r="F918" i="1"/>
  <c r="G918" i="1"/>
  <c r="H918" i="1"/>
  <c r="I918" i="1"/>
  <c r="J918" i="1"/>
  <c r="K918" i="1"/>
  <c r="A919" i="1"/>
  <c r="B919" i="1"/>
  <c r="C919" i="1"/>
  <c r="D919" i="1"/>
  <c r="E919" i="1"/>
  <c r="F919" i="1"/>
  <c r="G919" i="1"/>
  <c r="H919" i="1"/>
  <c r="I919" i="1"/>
  <c r="J919" i="1"/>
  <c r="K919" i="1"/>
  <c r="A920" i="1"/>
  <c r="B920" i="1"/>
  <c r="C920" i="1"/>
  <c r="D920" i="1"/>
  <c r="E920" i="1"/>
  <c r="F920" i="1"/>
  <c r="G920" i="1"/>
  <c r="H920" i="1"/>
  <c r="I920" i="1"/>
  <c r="J920" i="1"/>
  <c r="K920" i="1"/>
  <c r="A921" i="1"/>
  <c r="B921" i="1"/>
  <c r="C921" i="1"/>
  <c r="D921" i="1"/>
  <c r="E921" i="1"/>
  <c r="F921" i="1"/>
  <c r="G921" i="1"/>
  <c r="H921" i="1"/>
  <c r="I921" i="1"/>
  <c r="J921" i="1"/>
  <c r="K921" i="1"/>
  <c r="A922" i="1"/>
  <c r="B922" i="1"/>
  <c r="C922" i="1"/>
  <c r="D922" i="1"/>
  <c r="E922" i="1"/>
  <c r="F922" i="1"/>
  <c r="G922" i="1"/>
  <c r="H922" i="1"/>
  <c r="I922" i="1"/>
  <c r="J922" i="1"/>
  <c r="K922" i="1"/>
  <c r="A923" i="1"/>
  <c r="B923" i="1"/>
  <c r="C923" i="1"/>
  <c r="D923" i="1"/>
  <c r="E923" i="1"/>
  <c r="F923" i="1"/>
  <c r="G923" i="1"/>
  <c r="H923" i="1"/>
  <c r="I923" i="1"/>
  <c r="J923" i="1"/>
  <c r="K923" i="1"/>
  <c r="A924" i="1"/>
  <c r="B924" i="1"/>
  <c r="C924" i="1"/>
  <c r="D924" i="1"/>
  <c r="E924" i="1"/>
  <c r="F924" i="1"/>
  <c r="G924" i="1"/>
  <c r="H924" i="1"/>
  <c r="I924" i="1"/>
  <c r="J924" i="1"/>
  <c r="K924" i="1"/>
  <c r="A925" i="1"/>
  <c r="B925" i="1"/>
  <c r="C925" i="1"/>
  <c r="D925" i="1"/>
  <c r="E925" i="1"/>
  <c r="F925" i="1"/>
  <c r="G925" i="1"/>
  <c r="H925" i="1"/>
  <c r="I925" i="1"/>
  <c r="J925" i="1"/>
  <c r="K925" i="1"/>
  <c r="A926" i="1"/>
  <c r="B926" i="1"/>
  <c r="C926" i="1"/>
  <c r="D926" i="1"/>
  <c r="E926" i="1"/>
  <c r="F926" i="1"/>
  <c r="G926" i="1"/>
  <c r="H926" i="1"/>
  <c r="I926" i="1"/>
  <c r="J926" i="1"/>
  <c r="K926" i="1"/>
  <c r="A927" i="1"/>
  <c r="B927" i="1"/>
  <c r="C927" i="1"/>
  <c r="D927" i="1"/>
  <c r="E927" i="1"/>
  <c r="F927" i="1"/>
  <c r="G927" i="1"/>
  <c r="H927" i="1"/>
  <c r="I927" i="1"/>
  <c r="J927" i="1"/>
  <c r="K927" i="1"/>
  <c r="A928" i="1"/>
  <c r="B928" i="1"/>
  <c r="C928" i="1"/>
  <c r="D928" i="1"/>
  <c r="E928" i="1"/>
  <c r="F928" i="1"/>
  <c r="G928" i="1"/>
  <c r="H928" i="1"/>
  <c r="I928" i="1"/>
  <c r="J928" i="1"/>
  <c r="K928" i="1"/>
  <c r="A929" i="1"/>
  <c r="B929" i="1"/>
  <c r="C929" i="1"/>
  <c r="D929" i="1"/>
  <c r="E929" i="1"/>
  <c r="F929" i="1"/>
  <c r="G929" i="1"/>
  <c r="H929" i="1"/>
  <c r="I929" i="1"/>
  <c r="J929" i="1"/>
  <c r="K929" i="1"/>
  <c r="A930" i="1"/>
  <c r="B930" i="1"/>
  <c r="C930" i="1"/>
  <c r="D930" i="1"/>
  <c r="E930" i="1"/>
  <c r="F930" i="1"/>
  <c r="G930" i="1"/>
  <c r="H930" i="1"/>
  <c r="I930" i="1"/>
  <c r="J930" i="1"/>
  <c r="K930" i="1"/>
  <c r="A931" i="1"/>
  <c r="B931" i="1"/>
  <c r="C931" i="1"/>
  <c r="D931" i="1"/>
  <c r="E931" i="1"/>
  <c r="F931" i="1"/>
  <c r="G931" i="1"/>
  <c r="H931" i="1"/>
  <c r="I931" i="1"/>
  <c r="J931" i="1"/>
  <c r="K931" i="1"/>
  <c r="A932" i="1"/>
  <c r="B932" i="1"/>
  <c r="C932" i="1"/>
  <c r="D932" i="1"/>
  <c r="E932" i="1"/>
  <c r="F932" i="1"/>
  <c r="G932" i="1"/>
  <c r="H932" i="1"/>
  <c r="I932" i="1"/>
  <c r="J932" i="1"/>
  <c r="K932" i="1"/>
  <c r="A933" i="1"/>
  <c r="B933" i="1"/>
  <c r="C933" i="1"/>
  <c r="D933" i="1"/>
  <c r="E933" i="1"/>
  <c r="F933" i="1"/>
  <c r="G933" i="1"/>
  <c r="H933" i="1"/>
  <c r="I933" i="1"/>
  <c r="J933" i="1"/>
  <c r="K933" i="1"/>
  <c r="A934" i="1"/>
  <c r="B934" i="1"/>
  <c r="C934" i="1"/>
  <c r="D934" i="1"/>
  <c r="E934" i="1"/>
  <c r="F934" i="1"/>
  <c r="G934" i="1"/>
  <c r="H934" i="1"/>
  <c r="I934" i="1"/>
  <c r="J934" i="1"/>
  <c r="K934" i="1"/>
  <c r="A935" i="1"/>
  <c r="B935" i="1"/>
  <c r="C935" i="1"/>
  <c r="D935" i="1"/>
  <c r="E935" i="1"/>
  <c r="F935" i="1"/>
  <c r="G935" i="1"/>
  <c r="H935" i="1"/>
  <c r="I935" i="1"/>
  <c r="J935" i="1"/>
  <c r="K935" i="1"/>
  <c r="A936" i="1"/>
  <c r="B936" i="1"/>
  <c r="C936" i="1"/>
  <c r="D936" i="1"/>
  <c r="E936" i="1"/>
  <c r="F936" i="1"/>
  <c r="G936" i="1"/>
  <c r="H936" i="1"/>
  <c r="I936" i="1"/>
  <c r="J936" i="1"/>
  <c r="K936" i="1"/>
  <c r="A937" i="1"/>
  <c r="B937" i="1"/>
  <c r="C937" i="1"/>
  <c r="D937" i="1"/>
  <c r="E937" i="1"/>
  <c r="F937" i="1"/>
  <c r="G937" i="1"/>
  <c r="H937" i="1"/>
  <c r="I937" i="1"/>
  <c r="J937" i="1"/>
  <c r="K937" i="1"/>
  <c r="A938" i="1"/>
  <c r="B938" i="1"/>
  <c r="C938" i="1"/>
  <c r="D938" i="1"/>
  <c r="E938" i="1"/>
  <c r="F938" i="1"/>
  <c r="G938" i="1"/>
  <c r="H938" i="1"/>
  <c r="I938" i="1"/>
  <c r="J938" i="1"/>
  <c r="K938" i="1"/>
  <c r="A939" i="1"/>
  <c r="B939" i="1"/>
  <c r="C939" i="1"/>
  <c r="D939" i="1"/>
  <c r="E939" i="1"/>
  <c r="F939" i="1"/>
  <c r="G939" i="1"/>
  <c r="H939" i="1"/>
  <c r="I939" i="1"/>
  <c r="J939" i="1"/>
  <c r="K939" i="1"/>
  <c r="A940" i="1"/>
  <c r="B940" i="1"/>
  <c r="C940" i="1"/>
  <c r="D940" i="1"/>
  <c r="E940" i="1"/>
  <c r="F940" i="1"/>
  <c r="G940" i="1"/>
  <c r="H940" i="1"/>
  <c r="I940" i="1"/>
  <c r="J940" i="1"/>
  <c r="K940" i="1"/>
  <c r="A941" i="1"/>
  <c r="B941" i="1"/>
  <c r="C941" i="1"/>
  <c r="D941" i="1"/>
  <c r="E941" i="1"/>
  <c r="F941" i="1"/>
  <c r="G941" i="1"/>
  <c r="H941" i="1"/>
  <c r="I941" i="1"/>
  <c r="J941" i="1"/>
  <c r="K941" i="1"/>
  <c r="A942" i="1"/>
  <c r="B942" i="1"/>
  <c r="C942" i="1"/>
  <c r="D942" i="1"/>
  <c r="E942" i="1"/>
  <c r="F942" i="1"/>
  <c r="G942" i="1"/>
  <c r="H942" i="1"/>
  <c r="I942" i="1"/>
  <c r="J942" i="1"/>
  <c r="K942" i="1"/>
  <c r="A943" i="1"/>
  <c r="B943" i="1"/>
  <c r="C943" i="1"/>
  <c r="D943" i="1"/>
  <c r="E943" i="1"/>
  <c r="F943" i="1"/>
  <c r="G943" i="1"/>
  <c r="H943" i="1"/>
  <c r="I943" i="1"/>
  <c r="J943" i="1"/>
  <c r="K943" i="1"/>
  <c r="A944" i="1"/>
  <c r="B944" i="1"/>
  <c r="C944" i="1"/>
  <c r="D944" i="1"/>
  <c r="E944" i="1"/>
  <c r="F944" i="1"/>
  <c r="G944" i="1"/>
  <c r="H944" i="1"/>
  <c r="I944" i="1"/>
  <c r="J944" i="1"/>
  <c r="K944" i="1"/>
  <c r="A945" i="1"/>
  <c r="B945" i="1"/>
  <c r="C945" i="1"/>
  <c r="D945" i="1"/>
  <c r="E945" i="1"/>
  <c r="F945" i="1"/>
  <c r="G945" i="1"/>
  <c r="H945" i="1"/>
  <c r="I945" i="1"/>
  <c r="J945" i="1"/>
  <c r="K945" i="1"/>
  <c r="A946" i="1"/>
  <c r="B946" i="1"/>
  <c r="C946" i="1"/>
  <c r="D946" i="1"/>
  <c r="E946" i="1"/>
  <c r="F946" i="1"/>
  <c r="G946" i="1"/>
  <c r="H946" i="1"/>
  <c r="I946" i="1"/>
  <c r="J946" i="1"/>
  <c r="K946" i="1"/>
  <c r="A947" i="1"/>
  <c r="B947" i="1"/>
  <c r="C947" i="1"/>
  <c r="D947" i="1"/>
  <c r="E947" i="1"/>
  <c r="F947" i="1"/>
  <c r="G947" i="1"/>
  <c r="H947" i="1"/>
  <c r="I947" i="1"/>
  <c r="J947" i="1"/>
  <c r="K947" i="1"/>
  <c r="A948" i="1"/>
  <c r="B948" i="1"/>
  <c r="C948" i="1"/>
  <c r="D948" i="1"/>
  <c r="E948" i="1"/>
  <c r="F948" i="1"/>
  <c r="G948" i="1"/>
  <c r="H948" i="1"/>
  <c r="I948" i="1"/>
  <c r="J948" i="1"/>
  <c r="K948" i="1"/>
  <c r="A949" i="1"/>
  <c r="B949" i="1"/>
  <c r="C949" i="1"/>
  <c r="D949" i="1"/>
  <c r="E949" i="1"/>
  <c r="F949" i="1"/>
  <c r="G949" i="1"/>
  <c r="H949" i="1"/>
  <c r="I949" i="1"/>
  <c r="J949" i="1"/>
  <c r="K949" i="1"/>
  <c r="A950" i="1"/>
  <c r="B950" i="1"/>
  <c r="C950" i="1"/>
  <c r="D950" i="1"/>
  <c r="E950" i="1"/>
  <c r="F950" i="1"/>
  <c r="G950" i="1"/>
  <c r="H950" i="1"/>
  <c r="I950" i="1"/>
  <c r="J950" i="1"/>
  <c r="K950" i="1"/>
  <c r="A951" i="1"/>
  <c r="B951" i="1"/>
  <c r="C951" i="1"/>
  <c r="D951" i="1"/>
  <c r="E951" i="1"/>
  <c r="F951" i="1"/>
  <c r="G951" i="1"/>
  <c r="H951" i="1"/>
  <c r="I951" i="1"/>
  <c r="J951" i="1"/>
  <c r="K951" i="1"/>
  <c r="A952" i="1"/>
  <c r="B952" i="1"/>
  <c r="C952" i="1"/>
  <c r="D952" i="1"/>
  <c r="E952" i="1"/>
  <c r="F952" i="1"/>
  <c r="G952" i="1"/>
  <c r="H952" i="1"/>
  <c r="I952" i="1"/>
  <c r="J952" i="1"/>
  <c r="K952" i="1"/>
  <c r="A953" i="1"/>
  <c r="B953" i="1"/>
  <c r="C953" i="1"/>
  <c r="D953" i="1"/>
  <c r="E953" i="1"/>
  <c r="F953" i="1"/>
  <c r="G953" i="1"/>
  <c r="H953" i="1"/>
  <c r="I953" i="1"/>
  <c r="J953" i="1"/>
  <c r="K953" i="1"/>
  <c r="A954" i="1"/>
  <c r="B954" i="1"/>
  <c r="C954" i="1"/>
  <c r="D954" i="1"/>
  <c r="E954" i="1"/>
  <c r="F954" i="1"/>
  <c r="G954" i="1"/>
  <c r="H954" i="1"/>
  <c r="I954" i="1"/>
  <c r="J954" i="1"/>
  <c r="K954" i="1"/>
  <c r="A955" i="1"/>
  <c r="B955" i="1"/>
  <c r="C955" i="1"/>
  <c r="D955" i="1"/>
  <c r="E955" i="1"/>
  <c r="F955" i="1"/>
  <c r="G955" i="1"/>
  <c r="H955" i="1"/>
  <c r="I955" i="1"/>
  <c r="J955" i="1"/>
  <c r="K955" i="1"/>
  <c r="A956" i="1"/>
  <c r="B956" i="1"/>
  <c r="C956" i="1"/>
  <c r="D956" i="1"/>
  <c r="E956" i="1"/>
  <c r="F956" i="1"/>
  <c r="G956" i="1"/>
  <c r="H956" i="1"/>
  <c r="I956" i="1"/>
  <c r="J956" i="1"/>
  <c r="K956" i="1"/>
  <c r="A957" i="1"/>
  <c r="B957" i="1"/>
  <c r="C957" i="1"/>
  <c r="D957" i="1"/>
  <c r="E957" i="1"/>
  <c r="F957" i="1"/>
  <c r="G957" i="1"/>
  <c r="H957" i="1"/>
  <c r="I957" i="1"/>
  <c r="J957" i="1"/>
  <c r="K957" i="1"/>
  <c r="A958" i="1"/>
  <c r="B958" i="1"/>
  <c r="C958" i="1"/>
  <c r="D958" i="1"/>
  <c r="E958" i="1"/>
  <c r="F958" i="1"/>
  <c r="G958" i="1"/>
  <c r="H958" i="1"/>
  <c r="I958" i="1"/>
  <c r="J958" i="1"/>
  <c r="K958" i="1"/>
  <c r="A959" i="1"/>
  <c r="B959" i="1"/>
  <c r="C959" i="1"/>
  <c r="D959" i="1"/>
  <c r="E959" i="1"/>
  <c r="F959" i="1"/>
  <c r="G959" i="1"/>
  <c r="H959" i="1"/>
  <c r="I959" i="1"/>
  <c r="J959" i="1"/>
  <c r="K959" i="1"/>
  <c r="A960" i="1"/>
  <c r="B960" i="1"/>
  <c r="C960" i="1"/>
  <c r="D960" i="1"/>
  <c r="E960" i="1"/>
  <c r="F960" i="1"/>
  <c r="G960" i="1"/>
  <c r="H960" i="1"/>
  <c r="I960" i="1"/>
  <c r="J960" i="1"/>
  <c r="K960" i="1"/>
  <c r="A961" i="1"/>
  <c r="B961" i="1"/>
  <c r="C961" i="1"/>
  <c r="D961" i="1"/>
  <c r="E961" i="1"/>
  <c r="F961" i="1"/>
  <c r="G961" i="1"/>
  <c r="H961" i="1"/>
  <c r="I961" i="1"/>
  <c r="J961" i="1"/>
  <c r="K961" i="1"/>
  <c r="A962" i="1"/>
  <c r="B962" i="1"/>
  <c r="C962" i="1"/>
  <c r="D962" i="1"/>
  <c r="E962" i="1"/>
  <c r="F962" i="1"/>
  <c r="G962" i="1"/>
  <c r="H962" i="1"/>
  <c r="I962" i="1"/>
  <c r="J962" i="1"/>
  <c r="K962" i="1"/>
  <c r="A963" i="1"/>
  <c r="B963" i="1"/>
  <c r="C963" i="1"/>
  <c r="D963" i="1"/>
  <c r="E963" i="1"/>
  <c r="F963" i="1"/>
  <c r="G963" i="1"/>
  <c r="H963" i="1"/>
  <c r="I963" i="1"/>
  <c r="J963" i="1"/>
  <c r="K963" i="1"/>
  <c r="A964" i="1"/>
  <c r="B964" i="1"/>
  <c r="C964" i="1"/>
  <c r="D964" i="1"/>
  <c r="E964" i="1"/>
  <c r="F964" i="1"/>
  <c r="G964" i="1"/>
  <c r="H964" i="1"/>
  <c r="I964" i="1"/>
  <c r="J964" i="1"/>
  <c r="K964" i="1"/>
  <c r="A965" i="1"/>
  <c r="B965" i="1"/>
  <c r="C965" i="1"/>
  <c r="D965" i="1"/>
  <c r="E965" i="1"/>
  <c r="F965" i="1"/>
  <c r="G965" i="1"/>
  <c r="H965" i="1"/>
  <c r="I965" i="1"/>
  <c r="J965" i="1"/>
  <c r="K965" i="1"/>
  <c r="A966" i="1"/>
  <c r="B966" i="1"/>
  <c r="C966" i="1"/>
  <c r="D966" i="1"/>
  <c r="E966" i="1"/>
  <c r="F966" i="1"/>
  <c r="G966" i="1"/>
  <c r="H966" i="1"/>
  <c r="I966" i="1"/>
  <c r="J966" i="1"/>
  <c r="K966" i="1"/>
  <c r="A967" i="1"/>
  <c r="B967" i="1"/>
  <c r="C967" i="1"/>
  <c r="D967" i="1"/>
  <c r="E967" i="1"/>
  <c r="F967" i="1"/>
  <c r="G967" i="1"/>
  <c r="H967" i="1"/>
  <c r="I967" i="1"/>
  <c r="J967" i="1"/>
  <c r="K967" i="1"/>
  <c r="A968" i="1"/>
  <c r="B968" i="1"/>
  <c r="C968" i="1"/>
  <c r="D968" i="1"/>
  <c r="E968" i="1"/>
  <c r="F968" i="1"/>
  <c r="G968" i="1"/>
  <c r="H968" i="1"/>
  <c r="I968" i="1"/>
  <c r="J968" i="1"/>
  <c r="K968" i="1"/>
  <c r="A969" i="1"/>
  <c r="B969" i="1"/>
  <c r="C969" i="1"/>
  <c r="D969" i="1"/>
  <c r="E969" i="1"/>
  <c r="F969" i="1"/>
  <c r="G969" i="1"/>
  <c r="H969" i="1"/>
  <c r="I969" i="1"/>
  <c r="J969" i="1"/>
  <c r="K969" i="1"/>
  <c r="A970" i="1"/>
  <c r="B970" i="1"/>
  <c r="C970" i="1"/>
  <c r="D970" i="1"/>
  <c r="E970" i="1"/>
  <c r="F970" i="1"/>
  <c r="G970" i="1"/>
  <c r="H970" i="1"/>
  <c r="I970" i="1"/>
  <c r="J970" i="1"/>
  <c r="K970" i="1"/>
  <c r="A971" i="1"/>
  <c r="B971" i="1"/>
  <c r="C971" i="1"/>
  <c r="D971" i="1"/>
  <c r="E971" i="1"/>
  <c r="F971" i="1"/>
  <c r="G971" i="1"/>
  <c r="H971" i="1"/>
  <c r="I971" i="1"/>
  <c r="J971" i="1"/>
  <c r="K971" i="1"/>
  <c r="A972" i="1"/>
  <c r="B972" i="1"/>
  <c r="C972" i="1"/>
  <c r="D972" i="1"/>
  <c r="E972" i="1"/>
  <c r="F972" i="1"/>
  <c r="G972" i="1"/>
  <c r="H972" i="1"/>
  <c r="I972" i="1"/>
  <c r="J972" i="1"/>
  <c r="K972" i="1"/>
  <c r="A973" i="1"/>
  <c r="B973" i="1"/>
  <c r="C973" i="1"/>
  <c r="D973" i="1"/>
  <c r="E973" i="1"/>
  <c r="F973" i="1"/>
  <c r="G973" i="1"/>
  <c r="H973" i="1"/>
  <c r="I973" i="1"/>
  <c r="J973" i="1"/>
  <c r="K973" i="1"/>
  <c r="A974" i="1"/>
  <c r="B974" i="1"/>
  <c r="C974" i="1"/>
  <c r="D974" i="1"/>
  <c r="E974" i="1"/>
  <c r="F974" i="1"/>
  <c r="G974" i="1"/>
  <c r="H974" i="1"/>
  <c r="I974" i="1"/>
  <c r="J974" i="1"/>
  <c r="K974" i="1"/>
  <c r="A975" i="1"/>
  <c r="B975" i="1"/>
  <c r="C975" i="1"/>
  <c r="D975" i="1"/>
  <c r="E975" i="1"/>
  <c r="F975" i="1"/>
  <c r="G975" i="1"/>
  <c r="H975" i="1"/>
  <c r="I975" i="1"/>
  <c r="J975" i="1"/>
  <c r="K975" i="1"/>
  <c r="A976" i="1"/>
  <c r="B976" i="1"/>
  <c r="C976" i="1"/>
  <c r="D976" i="1"/>
  <c r="E976" i="1"/>
  <c r="F976" i="1"/>
  <c r="G976" i="1"/>
  <c r="H976" i="1"/>
  <c r="I976" i="1"/>
  <c r="J976" i="1"/>
  <c r="K976" i="1"/>
  <c r="A977" i="1"/>
  <c r="B977" i="1"/>
  <c r="C977" i="1"/>
  <c r="D977" i="1"/>
  <c r="E977" i="1"/>
  <c r="F977" i="1"/>
  <c r="G977" i="1"/>
  <c r="H977" i="1"/>
  <c r="I977" i="1"/>
  <c r="J977" i="1"/>
  <c r="K977" i="1"/>
  <c r="A978" i="1"/>
  <c r="B978" i="1"/>
  <c r="C978" i="1"/>
  <c r="D978" i="1"/>
  <c r="E978" i="1"/>
  <c r="F978" i="1"/>
  <c r="G978" i="1"/>
  <c r="H978" i="1"/>
  <c r="I978" i="1"/>
  <c r="J978" i="1"/>
  <c r="K978" i="1"/>
  <c r="A979" i="1"/>
  <c r="B979" i="1"/>
  <c r="C979" i="1"/>
  <c r="D979" i="1"/>
  <c r="E979" i="1"/>
  <c r="F979" i="1"/>
  <c r="G979" i="1"/>
  <c r="H979" i="1"/>
  <c r="I979" i="1"/>
  <c r="J979" i="1"/>
  <c r="K979" i="1"/>
  <c r="A980" i="1"/>
  <c r="B980" i="1"/>
  <c r="C980" i="1"/>
  <c r="D980" i="1"/>
  <c r="E980" i="1"/>
  <c r="F980" i="1"/>
  <c r="G980" i="1"/>
  <c r="H980" i="1"/>
  <c r="I980" i="1"/>
  <c r="J980" i="1"/>
  <c r="K980" i="1"/>
  <c r="A981" i="1"/>
  <c r="B981" i="1"/>
  <c r="C981" i="1"/>
  <c r="D981" i="1"/>
  <c r="E981" i="1"/>
  <c r="F981" i="1"/>
  <c r="G981" i="1"/>
  <c r="H981" i="1"/>
  <c r="I981" i="1"/>
  <c r="J981" i="1"/>
  <c r="K981" i="1"/>
  <c r="A982" i="1"/>
  <c r="B982" i="1"/>
  <c r="C982" i="1"/>
  <c r="D982" i="1"/>
  <c r="E982" i="1"/>
  <c r="F982" i="1"/>
  <c r="G982" i="1"/>
  <c r="H982" i="1"/>
  <c r="I982" i="1"/>
  <c r="J982" i="1"/>
  <c r="K982" i="1"/>
  <c r="A983" i="1"/>
  <c r="B983" i="1"/>
  <c r="C983" i="1"/>
  <c r="D983" i="1"/>
  <c r="E983" i="1"/>
  <c r="F983" i="1"/>
  <c r="G983" i="1"/>
  <c r="H983" i="1"/>
  <c r="I983" i="1"/>
  <c r="J983" i="1"/>
  <c r="K983" i="1"/>
  <c r="A984" i="1"/>
  <c r="B984" i="1"/>
  <c r="C984" i="1"/>
  <c r="D984" i="1"/>
  <c r="E984" i="1"/>
  <c r="F984" i="1"/>
  <c r="G984" i="1"/>
  <c r="H984" i="1"/>
  <c r="I984" i="1"/>
  <c r="J984" i="1"/>
  <c r="K984" i="1"/>
  <c r="A985" i="1"/>
  <c r="B985" i="1"/>
  <c r="C985" i="1"/>
  <c r="D985" i="1"/>
  <c r="E985" i="1"/>
  <c r="F985" i="1"/>
  <c r="G985" i="1"/>
  <c r="H985" i="1"/>
  <c r="I985" i="1"/>
  <c r="J985" i="1"/>
  <c r="K985" i="1"/>
  <c r="A986" i="1"/>
  <c r="B986" i="1"/>
  <c r="C986" i="1"/>
  <c r="D986" i="1"/>
  <c r="E986" i="1"/>
  <c r="F986" i="1"/>
  <c r="G986" i="1"/>
  <c r="H986" i="1"/>
  <c r="I986" i="1"/>
  <c r="J986" i="1"/>
  <c r="K986" i="1"/>
  <c r="A987" i="1"/>
  <c r="B987" i="1"/>
  <c r="C987" i="1"/>
  <c r="D987" i="1"/>
  <c r="E987" i="1"/>
  <c r="F987" i="1"/>
  <c r="G987" i="1"/>
  <c r="H987" i="1"/>
  <c r="I987" i="1"/>
  <c r="J987" i="1"/>
  <c r="K987" i="1"/>
  <c r="A988" i="1"/>
  <c r="B988" i="1"/>
  <c r="C988" i="1"/>
  <c r="D988" i="1"/>
  <c r="E988" i="1"/>
  <c r="F988" i="1"/>
  <c r="G988" i="1"/>
  <c r="H988" i="1"/>
  <c r="I988" i="1"/>
  <c r="J988" i="1"/>
  <c r="K988" i="1"/>
  <c r="A989" i="1"/>
  <c r="B989" i="1"/>
  <c r="C989" i="1"/>
  <c r="D989" i="1"/>
  <c r="E989" i="1"/>
  <c r="F989" i="1"/>
  <c r="G989" i="1"/>
  <c r="H989" i="1"/>
  <c r="I989" i="1"/>
  <c r="J989" i="1"/>
  <c r="K989" i="1"/>
  <c r="A990" i="1"/>
  <c r="B990" i="1"/>
  <c r="C990" i="1"/>
  <c r="D990" i="1"/>
  <c r="E990" i="1"/>
  <c r="F990" i="1"/>
  <c r="G990" i="1"/>
  <c r="H990" i="1"/>
  <c r="I990" i="1"/>
  <c r="J990" i="1"/>
  <c r="K990" i="1"/>
  <c r="A991" i="1"/>
  <c r="B991" i="1"/>
  <c r="C991" i="1"/>
  <c r="D991" i="1"/>
  <c r="E991" i="1"/>
  <c r="F991" i="1"/>
  <c r="G991" i="1"/>
  <c r="H991" i="1"/>
  <c r="I991" i="1"/>
  <c r="J991" i="1"/>
  <c r="K991" i="1"/>
  <c r="A992" i="1"/>
  <c r="B992" i="1"/>
  <c r="C992" i="1"/>
  <c r="D992" i="1"/>
  <c r="E992" i="1"/>
  <c r="F992" i="1"/>
  <c r="G992" i="1"/>
  <c r="H992" i="1"/>
  <c r="I992" i="1"/>
  <c r="J992" i="1"/>
  <c r="K992" i="1"/>
  <c r="A993" i="1"/>
  <c r="B993" i="1"/>
  <c r="C993" i="1"/>
  <c r="D993" i="1"/>
  <c r="E993" i="1"/>
  <c r="F993" i="1"/>
  <c r="G993" i="1"/>
  <c r="H993" i="1"/>
  <c r="I993" i="1"/>
  <c r="J993" i="1"/>
  <c r="K993" i="1"/>
  <c r="A994" i="1"/>
  <c r="B994" i="1"/>
  <c r="C994" i="1"/>
  <c r="D994" i="1"/>
  <c r="E994" i="1"/>
  <c r="F994" i="1"/>
  <c r="G994" i="1"/>
  <c r="H994" i="1"/>
  <c r="I994" i="1"/>
  <c r="J994" i="1"/>
  <c r="K994" i="1"/>
  <c r="A995" i="1"/>
  <c r="B995" i="1"/>
  <c r="C995" i="1"/>
  <c r="D995" i="1"/>
  <c r="E995" i="1"/>
  <c r="F995" i="1"/>
  <c r="G995" i="1"/>
  <c r="H995" i="1"/>
  <c r="I995" i="1"/>
  <c r="J995" i="1"/>
  <c r="K995" i="1"/>
  <c r="A996" i="1"/>
  <c r="B996" i="1"/>
  <c r="C996" i="1"/>
  <c r="D996" i="1"/>
  <c r="E996" i="1"/>
  <c r="F996" i="1"/>
  <c r="G996" i="1"/>
  <c r="H996" i="1"/>
  <c r="I996" i="1"/>
  <c r="J996" i="1"/>
  <c r="K996" i="1"/>
  <c r="A997" i="1"/>
  <c r="B997" i="1"/>
  <c r="C997" i="1"/>
  <c r="D997" i="1"/>
  <c r="E997" i="1"/>
  <c r="F997" i="1"/>
  <c r="G997" i="1"/>
  <c r="H997" i="1"/>
  <c r="I997" i="1"/>
  <c r="J997" i="1"/>
  <c r="K997" i="1"/>
  <c r="A998" i="1"/>
  <c r="B998" i="1"/>
  <c r="C998" i="1"/>
  <c r="D998" i="1"/>
  <c r="E998" i="1"/>
  <c r="F998" i="1"/>
  <c r="G998" i="1"/>
  <c r="H998" i="1"/>
  <c r="I998" i="1"/>
  <c r="J998" i="1"/>
  <c r="K998" i="1"/>
  <c r="A999" i="1"/>
  <c r="B999" i="1"/>
  <c r="C999" i="1"/>
  <c r="D999" i="1"/>
  <c r="E999" i="1"/>
  <c r="F999" i="1"/>
  <c r="G999" i="1"/>
  <c r="H999" i="1"/>
  <c r="I999" i="1"/>
  <c r="J999" i="1"/>
  <c r="K999" i="1"/>
  <c r="A1000" i="1"/>
  <c r="B1000" i="1"/>
  <c r="C1000" i="1"/>
  <c r="D1000" i="1"/>
  <c r="E1000" i="1"/>
  <c r="F1000" i="1"/>
  <c r="G1000" i="1"/>
  <c r="H1000" i="1"/>
  <c r="I1000" i="1"/>
  <c r="J1000" i="1"/>
  <c r="K1000" i="1"/>
  <c r="A1001" i="1"/>
  <c r="B1001" i="1"/>
  <c r="C1001" i="1"/>
  <c r="D1001" i="1"/>
  <c r="E1001" i="1"/>
  <c r="F1001" i="1"/>
  <c r="G1001" i="1"/>
  <c r="H1001" i="1"/>
  <c r="I1001" i="1"/>
  <c r="J1001" i="1"/>
  <c r="K1001" i="1"/>
  <c r="A1002" i="1"/>
  <c r="B1002" i="1"/>
  <c r="C1002" i="1"/>
  <c r="D1002" i="1"/>
  <c r="E1002" i="1"/>
  <c r="F1002" i="1"/>
  <c r="G1002" i="1"/>
  <c r="H1002" i="1"/>
  <c r="I1002" i="1"/>
  <c r="J1002" i="1"/>
  <c r="K1002" i="1"/>
  <c r="A1003" i="1"/>
  <c r="B1003" i="1"/>
  <c r="C1003" i="1"/>
  <c r="D1003" i="1"/>
  <c r="E1003" i="1"/>
  <c r="F1003" i="1"/>
  <c r="G1003" i="1"/>
  <c r="H1003" i="1"/>
  <c r="I1003" i="1"/>
  <c r="J1003" i="1"/>
  <c r="K1003" i="1"/>
  <c r="A1004" i="1"/>
  <c r="B1004" i="1"/>
  <c r="C1004" i="1"/>
  <c r="D1004" i="1"/>
  <c r="E1004" i="1"/>
  <c r="F1004" i="1"/>
  <c r="G1004" i="1"/>
  <c r="H1004" i="1"/>
  <c r="I1004" i="1"/>
  <c r="J1004" i="1"/>
  <c r="K1004" i="1"/>
  <c r="A1005" i="1"/>
  <c r="B1005" i="1"/>
  <c r="C1005" i="1"/>
  <c r="D1005" i="1"/>
  <c r="E1005" i="1"/>
  <c r="F1005" i="1"/>
  <c r="G1005" i="1"/>
  <c r="H1005" i="1"/>
  <c r="I1005" i="1"/>
  <c r="J1005" i="1"/>
  <c r="K1005" i="1"/>
  <c r="A1006" i="1"/>
  <c r="B1006" i="1"/>
  <c r="C1006" i="1"/>
  <c r="D1006" i="1"/>
  <c r="E1006" i="1"/>
  <c r="F1006" i="1"/>
  <c r="G1006" i="1"/>
  <c r="H1006" i="1"/>
  <c r="I1006" i="1"/>
  <c r="J1006" i="1"/>
  <c r="K1006" i="1"/>
  <c r="A1007" i="1"/>
  <c r="B1007" i="1"/>
  <c r="C1007" i="1"/>
  <c r="D1007" i="1"/>
  <c r="E1007" i="1"/>
  <c r="F1007" i="1"/>
  <c r="G1007" i="1"/>
  <c r="H1007" i="1"/>
  <c r="I1007" i="1"/>
  <c r="J1007" i="1"/>
  <c r="K1007" i="1"/>
  <c r="A1008" i="1"/>
  <c r="B1008" i="1"/>
  <c r="C1008" i="1"/>
  <c r="D1008" i="1"/>
  <c r="E1008" i="1"/>
  <c r="F1008" i="1"/>
  <c r="G1008" i="1"/>
  <c r="H1008" i="1"/>
  <c r="I1008" i="1"/>
  <c r="J1008" i="1"/>
  <c r="K1008" i="1"/>
  <c r="A1009" i="1"/>
  <c r="B1009" i="1"/>
  <c r="C1009" i="1"/>
  <c r="D1009" i="1"/>
  <c r="E1009" i="1"/>
  <c r="F1009" i="1"/>
  <c r="G1009" i="1"/>
  <c r="H1009" i="1"/>
  <c r="I1009" i="1"/>
  <c r="J1009" i="1"/>
  <c r="K1009" i="1"/>
  <c r="A1010" i="1"/>
  <c r="B1010" i="1"/>
  <c r="C1010" i="1"/>
  <c r="D1010" i="1"/>
  <c r="E1010" i="1"/>
  <c r="F1010" i="1"/>
  <c r="G1010" i="1"/>
  <c r="H1010" i="1"/>
  <c r="I1010" i="1"/>
  <c r="J1010" i="1"/>
  <c r="K1010" i="1"/>
  <c r="A1011" i="1"/>
  <c r="B1011" i="1"/>
  <c r="C1011" i="1"/>
  <c r="D1011" i="1"/>
  <c r="E1011" i="1"/>
  <c r="F1011" i="1"/>
  <c r="G1011" i="1"/>
  <c r="H1011" i="1"/>
  <c r="I1011" i="1"/>
  <c r="J1011" i="1"/>
  <c r="K1011" i="1"/>
  <c r="A1012" i="1"/>
  <c r="B1012" i="1"/>
  <c r="C1012" i="1"/>
  <c r="D1012" i="1"/>
  <c r="E1012" i="1"/>
  <c r="F1012" i="1"/>
  <c r="G1012" i="1"/>
  <c r="H1012" i="1"/>
  <c r="I1012" i="1"/>
  <c r="J1012" i="1"/>
  <c r="K1012" i="1"/>
  <c r="A1013" i="1"/>
  <c r="B1013" i="1"/>
  <c r="C1013" i="1"/>
  <c r="D1013" i="1"/>
  <c r="E1013" i="1"/>
  <c r="F1013" i="1"/>
  <c r="G1013" i="1"/>
  <c r="H1013" i="1"/>
  <c r="I1013" i="1"/>
  <c r="J1013" i="1"/>
  <c r="K1013" i="1"/>
  <c r="A1014" i="1"/>
  <c r="B1014" i="1"/>
  <c r="C1014" i="1"/>
  <c r="D1014" i="1"/>
  <c r="E1014" i="1"/>
  <c r="F1014" i="1"/>
  <c r="G1014" i="1"/>
  <c r="H1014" i="1"/>
  <c r="I1014" i="1"/>
  <c r="J1014" i="1"/>
  <c r="K1014" i="1"/>
  <c r="A1015" i="1"/>
  <c r="B1015" i="1"/>
  <c r="C1015" i="1"/>
  <c r="D1015" i="1"/>
  <c r="E1015" i="1"/>
  <c r="F1015" i="1"/>
  <c r="G1015" i="1"/>
  <c r="H1015" i="1"/>
  <c r="I1015" i="1"/>
  <c r="J1015" i="1"/>
  <c r="K1015" i="1"/>
  <c r="A1016" i="1"/>
  <c r="B1016" i="1"/>
  <c r="C1016" i="1"/>
  <c r="D1016" i="1"/>
  <c r="E1016" i="1"/>
  <c r="F1016" i="1"/>
  <c r="G1016" i="1"/>
  <c r="H1016" i="1"/>
  <c r="I1016" i="1"/>
  <c r="J1016" i="1"/>
  <c r="K1016" i="1"/>
  <c r="A1017" i="1"/>
  <c r="B1017" i="1"/>
  <c r="C1017" i="1"/>
  <c r="D1017" i="1"/>
  <c r="E1017" i="1"/>
  <c r="F1017" i="1"/>
  <c r="G1017" i="1"/>
  <c r="H1017" i="1"/>
  <c r="I1017" i="1"/>
  <c r="J1017" i="1"/>
  <c r="K1017" i="1"/>
  <c r="A1018" i="1"/>
  <c r="B1018" i="1"/>
  <c r="C1018" i="1"/>
  <c r="D1018" i="1"/>
  <c r="E1018" i="1"/>
  <c r="F1018" i="1"/>
  <c r="G1018" i="1"/>
  <c r="H1018" i="1"/>
  <c r="I1018" i="1"/>
  <c r="J1018" i="1"/>
  <c r="K1018" i="1"/>
  <c r="A1019" i="1"/>
  <c r="B1019" i="1"/>
  <c r="C1019" i="1"/>
  <c r="D1019" i="1"/>
  <c r="E1019" i="1"/>
  <c r="F1019" i="1"/>
  <c r="G1019" i="1"/>
  <c r="H1019" i="1"/>
  <c r="I1019" i="1"/>
  <c r="J1019" i="1"/>
  <c r="K1019" i="1"/>
  <c r="A1020" i="1"/>
  <c r="B1020" i="1"/>
  <c r="C1020" i="1"/>
  <c r="D1020" i="1"/>
  <c r="E1020" i="1"/>
  <c r="F1020" i="1"/>
  <c r="G1020" i="1"/>
  <c r="H1020" i="1"/>
  <c r="I1020" i="1"/>
  <c r="J1020" i="1"/>
  <c r="K1020" i="1"/>
  <c r="A1021" i="1"/>
  <c r="B1021" i="1"/>
  <c r="C1021" i="1"/>
  <c r="D1021" i="1"/>
  <c r="E1021" i="1"/>
  <c r="F1021" i="1"/>
  <c r="G1021" i="1"/>
  <c r="H1021" i="1"/>
  <c r="I1021" i="1"/>
  <c r="J1021" i="1"/>
  <c r="K1021" i="1"/>
  <c r="A1022" i="1"/>
  <c r="B1022" i="1"/>
  <c r="C1022" i="1"/>
  <c r="D1022" i="1"/>
  <c r="E1022" i="1"/>
  <c r="F1022" i="1"/>
  <c r="G1022" i="1"/>
  <c r="H1022" i="1"/>
  <c r="I1022" i="1"/>
  <c r="J1022" i="1"/>
  <c r="K1022" i="1"/>
  <c r="A1023" i="1"/>
  <c r="B1023" i="1"/>
  <c r="C1023" i="1"/>
  <c r="D1023" i="1"/>
  <c r="E1023" i="1"/>
  <c r="F1023" i="1"/>
  <c r="G1023" i="1"/>
  <c r="H1023" i="1"/>
  <c r="I1023" i="1"/>
  <c r="J1023" i="1"/>
  <c r="K1023" i="1"/>
  <c r="A1024" i="1"/>
  <c r="B1024" i="1"/>
  <c r="C1024" i="1"/>
  <c r="D1024" i="1"/>
  <c r="E1024" i="1"/>
  <c r="F1024" i="1"/>
  <c r="G1024" i="1"/>
  <c r="H1024" i="1"/>
  <c r="I1024" i="1"/>
  <c r="J1024" i="1"/>
  <c r="K1024" i="1"/>
  <c r="A1025" i="1"/>
  <c r="B1025" i="1"/>
  <c r="C1025" i="1"/>
  <c r="D1025" i="1"/>
  <c r="E1025" i="1"/>
  <c r="F1025" i="1"/>
  <c r="G1025" i="1"/>
  <c r="H1025" i="1"/>
  <c r="I1025" i="1"/>
  <c r="J1025" i="1"/>
  <c r="K1025" i="1"/>
  <c r="A1026" i="1"/>
  <c r="B1026" i="1"/>
  <c r="C1026" i="1"/>
  <c r="D1026" i="1"/>
  <c r="E1026" i="1"/>
  <c r="F1026" i="1"/>
  <c r="G1026" i="1"/>
  <c r="H1026" i="1"/>
  <c r="I1026" i="1"/>
  <c r="J1026" i="1"/>
  <c r="K1026" i="1"/>
  <c r="A1027" i="1"/>
  <c r="B1027" i="1"/>
  <c r="C1027" i="1"/>
  <c r="D1027" i="1"/>
  <c r="E1027" i="1"/>
  <c r="F1027" i="1"/>
  <c r="G1027" i="1"/>
  <c r="H1027" i="1"/>
  <c r="I1027" i="1"/>
  <c r="J1027" i="1"/>
  <c r="K1027" i="1"/>
  <c r="A1028" i="1"/>
  <c r="B1028" i="1"/>
  <c r="C1028" i="1"/>
  <c r="D1028" i="1"/>
  <c r="E1028" i="1"/>
  <c r="F1028" i="1"/>
  <c r="G1028" i="1"/>
  <c r="H1028" i="1"/>
  <c r="I1028" i="1"/>
  <c r="J1028" i="1"/>
  <c r="K1028" i="1"/>
  <c r="A1029" i="1"/>
  <c r="B1029" i="1"/>
  <c r="C1029" i="1"/>
  <c r="D1029" i="1"/>
  <c r="E1029" i="1"/>
  <c r="F1029" i="1"/>
  <c r="G1029" i="1"/>
  <c r="H1029" i="1"/>
  <c r="I1029" i="1"/>
  <c r="J1029" i="1"/>
  <c r="K1029" i="1"/>
  <c r="A1030" i="1"/>
  <c r="B1030" i="1"/>
  <c r="C1030" i="1"/>
  <c r="D1030" i="1"/>
  <c r="E1030" i="1"/>
  <c r="F1030" i="1"/>
  <c r="G1030" i="1"/>
  <c r="H1030" i="1"/>
  <c r="I1030" i="1"/>
  <c r="J1030" i="1"/>
  <c r="K1030" i="1"/>
  <c r="A1031" i="1"/>
  <c r="B1031" i="1"/>
  <c r="C1031" i="1"/>
  <c r="D1031" i="1"/>
  <c r="E1031" i="1"/>
  <c r="F1031" i="1"/>
  <c r="G1031" i="1"/>
  <c r="H1031" i="1"/>
  <c r="I1031" i="1"/>
  <c r="J1031" i="1"/>
  <c r="K1031" i="1"/>
  <c r="A1032" i="1"/>
  <c r="B1032" i="1"/>
  <c r="C1032" i="1"/>
  <c r="D1032" i="1"/>
  <c r="E1032" i="1"/>
  <c r="F1032" i="1"/>
  <c r="G1032" i="1"/>
  <c r="H1032" i="1"/>
  <c r="I1032" i="1"/>
  <c r="J1032" i="1"/>
  <c r="K1032" i="1"/>
  <c r="A1033" i="1"/>
  <c r="B1033" i="1"/>
  <c r="C1033" i="1"/>
  <c r="D1033" i="1"/>
  <c r="E1033" i="1"/>
  <c r="F1033" i="1"/>
  <c r="G1033" i="1"/>
  <c r="H1033" i="1"/>
  <c r="I1033" i="1"/>
  <c r="J1033" i="1"/>
  <c r="K1033" i="1"/>
  <c r="A1034" i="1"/>
  <c r="B1034" i="1"/>
  <c r="C1034" i="1"/>
  <c r="D1034" i="1"/>
  <c r="E1034" i="1"/>
  <c r="F1034" i="1"/>
  <c r="G1034" i="1"/>
  <c r="H1034" i="1"/>
  <c r="I1034" i="1"/>
  <c r="J1034" i="1"/>
  <c r="K1034" i="1"/>
  <c r="A1035" i="1"/>
  <c r="B1035" i="1"/>
  <c r="C1035" i="1"/>
  <c r="D1035" i="1"/>
  <c r="E1035" i="1"/>
  <c r="F1035" i="1"/>
  <c r="G1035" i="1"/>
  <c r="H1035" i="1"/>
  <c r="I1035" i="1"/>
  <c r="J1035" i="1"/>
  <c r="K1035" i="1"/>
  <c r="A1036" i="1"/>
  <c r="B1036" i="1"/>
  <c r="C1036" i="1"/>
  <c r="D1036" i="1"/>
  <c r="E1036" i="1"/>
  <c r="F1036" i="1"/>
  <c r="G1036" i="1"/>
  <c r="H1036" i="1"/>
  <c r="I1036" i="1"/>
  <c r="J1036" i="1"/>
  <c r="K1036" i="1"/>
  <c r="A1037" i="1"/>
  <c r="B1037" i="1"/>
  <c r="C1037" i="1"/>
  <c r="D1037" i="1"/>
  <c r="E1037" i="1"/>
  <c r="F1037" i="1"/>
  <c r="G1037" i="1"/>
  <c r="H1037" i="1"/>
  <c r="I1037" i="1"/>
  <c r="J1037" i="1"/>
  <c r="K1037" i="1"/>
  <c r="A1038" i="1"/>
  <c r="B1038" i="1"/>
  <c r="C1038" i="1"/>
  <c r="D1038" i="1"/>
  <c r="E1038" i="1"/>
  <c r="F1038" i="1"/>
  <c r="G1038" i="1"/>
  <c r="H1038" i="1"/>
  <c r="I1038" i="1"/>
  <c r="J1038" i="1"/>
  <c r="K1038" i="1"/>
  <c r="A1039" i="1"/>
  <c r="B1039" i="1"/>
  <c r="C1039" i="1"/>
  <c r="D1039" i="1"/>
  <c r="E1039" i="1"/>
  <c r="F1039" i="1"/>
  <c r="G1039" i="1"/>
  <c r="H1039" i="1"/>
  <c r="I1039" i="1"/>
  <c r="J1039" i="1"/>
  <c r="K1039" i="1"/>
  <c r="A1040" i="1"/>
  <c r="B1040" i="1"/>
  <c r="C1040" i="1"/>
  <c r="D1040" i="1"/>
  <c r="E1040" i="1"/>
  <c r="F1040" i="1"/>
  <c r="G1040" i="1"/>
  <c r="H1040" i="1"/>
  <c r="I1040" i="1"/>
  <c r="J1040" i="1"/>
  <c r="K1040" i="1"/>
  <c r="A1041" i="1"/>
  <c r="B1041" i="1"/>
  <c r="C1041" i="1"/>
  <c r="D1041" i="1"/>
  <c r="E1041" i="1"/>
  <c r="F1041" i="1"/>
  <c r="G1041" i="1"/>
  <c r="H1041" i="1"/>
  <c r="I1041" i="1"/>
  <c r="J1041" i="1"/>
  <c r="K1041" i="1"/>
  <c r="A1042" i="1"/>
  <c r="B1042" i="1"/>
  <c r="C1042" i="1"/>
  <c r="D1042" i="1"/>
  <c r="E1042" i="1"/>
  <c r="F1042" i="1"/>
  <c r="G1042" i="1"/>
  <c r="H1042" i="1"/>
  <c r="I1042" i="1"/>
  <c r="J1042" i="1"/>
  <c r="K1042" i="1"/>
  <c r="A1043" i="1"/>
  <c r="B1043" i="1"/>
  <c r="C1043" i="1"/>
  <c r="D1043" i="1"/>
  <c r="E1043" i="1"/>
  <c r="F1043" i="1"/>
  <c r="G1043" i="1"/>
  <c r="H1043" i="1"/>
  <c r="I1043" i="1"/>
  <c r="J1043" i="1"/>
  <c r="K1043" i="1"/>
  <c r="A1044" i="1"/>
  <c r="B1044" i="1"/>
  <c r="C1044" i="1"/>
  <c r="D1044" i="1"/>
  <c r="E1044" i="1"/>
  <c r="F1044" i="1"/>
  <c r="G1044" i="1"/>
  <c r="H1044" i="1"/>
  <c r="I1044" i="1"/>
  <c r="J1044" i="1"/>
  <c r="K1044" i="1"/>
  <c r="A1045" i="1"/>
  <c r="B1045" i="1"/>
  <c r="C1045" i="1"/>
  <c r="D1045" i="1"/>
  <c r="E1045" i="1"/>
  <c r="F1045" i="1"/>
  <c r="G1045" i="1"/>
  <c r="H1045" i="1"/>
  <c r="I1045" i="1"/>
  <c r="J1045" i="1"/>
  <c r="K1045" i="1"/>
  <c r="A1046" i="1"/>
  <c r="B1046" i="1"/>
  <c r="C1046" i="1"/>
  <c r="D1046" i="1"/>
  <c r="E1046" i="1"/>
  <c r="F1046" i="1"/>
  <c r="G1046" i="1"/>
  <c r="H1046" i="1"/>
  <c r="I1046" i="1"/>
  <c r="J1046" i="1"/>
  <c r="K1046" i="1"/>
  <c r="A1047" i="1"/>
  <c r="B1047" i="1"/>
  <c r="C1047" i="1"/>
  <c r="D1047" i="1"/>
  <c r="E1047" i="1"/>
  <c r="F1047" i="1"/>
  <c r="G1047" i="1"/>
  <c r="H1047" i="1"/>
  <c r="I1047" i="1"/>
  <c r="J1047" i="1"/>
  <c r="K1047" i="1"/>
  <c r="A1048" i="1"/>
  <c r="B1048" i="1"/>
  <c r="C1048" i="1"/>
  <c r="D1048" i="1"/>
  <c r="E1048" i="1"/>
  <c r="F1048" i="1"/>
  <c r="G1048" i="1"/>
  <c r="H1048" i="1"/>
  <c r="I1048" i="1"/>
  <c r="J1048" i="1"/>
  <c r="K1048" i="1"/>
  <c r="A1049" i="1"/>
  <c r="B1049" i="1"/>
  <c r="C1049" i="1"/>
  <c r="D1049" i="1"/>
  <c r="E1049" i="1"/>
  <c r="F1049" i="1"/>
  <c r="G1049" i="1"/>
  <c r="H1049" i="1"/>
  <c r="I1049" i="1"/>
  <c r="J1049" i="1"/>
  <c r="K1049" i="1"/>
  <c r="A1050" i="1"/>
  <c r="B1050" i="1"/>
  <c r="C1050" i="1"/>
  <c r="D1050" i="1"/>
  <c r="E1050" i="1"/>
  <c r="F1050" i="1"/>
  <c r="G1050" i="1"/>
  <c r="H1050" i="1"/>
  <c r="I1050" i="1"/>
  <c r="J1050" i="1"/>
  <c r="K1050" i="1"/>
  <c r="A1051" i="1"/>
  <c r="B1051" i="1"/>
  <c r="C1051" i="1"/>
  <c r="D1051" i="1"/>
  <c r="E1051" i="1"/>
  <c r="F1051" i="1"/>
  <c r="G1051" i="1"/>
  <c r="H1051" i="1"/>
  <c r="I1051" i="1"/>
  <c r="J1051" i="1"/>
  <c r="K1051" i="1"/>
  <c r="A1052" i="1"/>
  <c r="B1052" i="1"/>
  <c r="C1052" i="1"/>
  <c r="D1052" i="1"/>
  <c r="E1052" i="1"/>
  <c r="F1052" i="1"/>
  <c r="G1052" i="1"/>
  <c r="H1052" i="1"/>
  <c r="I1052" i="1"/>
  <c r="J1052" i="1"/>
  <c r="K1052" i="1"/>
  <c r="A1053" i="1"/>
  <c r="B1053" i="1"/>
  <c r="C1053" i="1"/>
  <c r="D1053" i="1"/>
  <c r="E1053" i="1"/>
  <c r="F1053" i="1"/>
  <c r="G1053" i="1"/>
  <c r="H1053" i="1"/>
  <c r="I1053" i="1"/>
  <c r="J1053" i="1"/>
  <c r="K1053" i="1"/>
  <c r="A1054" i="1"/>
  <c r="B1054" i="1"/>
  <c r="C1054" i="1"/>
  <c r="D1054" i="1"/>
  <c r="E1054" i="1"/>
  <c r="F1054" i="1"/>
  <c r="G1054" i="1"/>
  <c r="H1054" i="1"/>
  <c r="I1054" i="1"/>
  <c r="J1054" i="1"/>
  <c r="K1054" i="1"/>
  <c r="A1055" i="1"/>
  <c r="B1055" i="1"/>
  <c r="C1055" i="1"/>
  <c r="D1055" i="1"/>
  <c r="E1055" i="1"/>
  <c r="F1055" i="1"/>
  <c r="G1055" i="1"/>
  <c r="H1055" i="1"/>
  <c r="I1055" i="1"/>
  <c r="J1055" i="1"/>
  <c r="K1055" i="1"/>
  <c r="A1056" i="1"/>
  <c r="B1056" i="1"/>
  <c r="C1056" i="1"/>
  <c r="D1056" i="1"/>
  <c r="E1056" i="1"/>
  <c r="F1056" i="1"/>
  <c r="G1056" i="1"/>
  <c r="H1056" i="1"/>
  <c r="I1056" i="1"/>
  <c r="J1056" i="1"/>
  <c r="K1056" i="1"/>
  <c r="A1057" i="1"/>
  <c r="B1057" i="1"/>
  <c r="C1057" i="1"/>
  <c r="D1057" i="1"/>
  <c r="E1057" i="1"/>
  <c r="F1057" i="1"/>
  <c r="G1057" i="1"/>
  <c r="H1057" i="1"/>
  <c r="I1057" i="1"/>
  <c r="J1057" i="1"/>
  <c r="K1057" i="1"/>
  <c r="A1058" i="1"/>
  <c r="B1058" i="1"/>
  <c r="C1058" i="1"/>
  <c r="D1058" i="1"/>
  <c r="E1058" i="1"/>
  <c r="F1058" i="1"/>
  <c r="G1058" i="1"/>
  <c r="H1058" i="1"/>
  <c r="I1058" i="1"/>
  <c r="J1058" i="1"/>
  <c r="K1058" i="1"/>
  <c r="A1059" i="1"/>
  <c r="B1059" i="1"/>
  <c r="C1059" i="1"/>
  <c r="D1059" i="1"/>
  <c r="E1059" i="1"/>
  <c r="F1059" i="1"/>
  <c r="G1059" i="1"/>
  <c r="H1059" i="1"/>
  <c r="I1059" i="1"/>
  <c r="J1059" i="1"/>
  <c r="K1059" i="1"/>
  <c r="A1060" i="1"/>
  <c r="B1060" i="1"/>
  <c r="C1060" i="1"/>
  <c r="D1060" i="1"/>
  <c r="E1060" i="1"/>
  <c r="F1060" i="1"/>
  <c r="G1060" i="1"/>
  <c r="H1060" i="1"/>
  <c r="I1060" i="1"/>
  <c r="J1060" i="1"/>
  <c r="K1060" i="1"/>
  <c r="A1061" i="1"/>
  <c r="B1061" i="1"/>
  <c r="C1061" i="1"/>
  <c r="D1061" i="1"/>
  <c r="E1061" i="1"/>
  <c r="F1061" i="1"/>
  <c r="G1061" i="1"/>
  <c r="H1061" i="1"/>
  <c r="I1061" i="1"/>
  <c r="J1061" i="1"/>
  <c r="K1061" i="1"/>
  <c r="A1062" i="1"/>
  <c r="B1062" i="1"/>
  <c r="C1062" i="1"/>
  <c r="D1062" i="1"/>
  <c r="E1062" i="1"/>
  <c r="F1062" i="1"/>
  <c r="G1062" i="1"/>
  <c r="H1062" i="1"/>
  <c r="I1062" i="1"/>
  <c r="J1062" i="1"/>
  <c r="K1062" i="1"/>
  <c r="A1063" i="1"/>
  <c r="B1063" i="1"/>
  <c r="C1063" i="1"/>
  <c r="D1063" i="1"/>
  <c r="E1063" i="1"/>
  <c r="F1063" i="1"/>
  <c r="G1063" i="1"/>
  <c r="H1063" i="1"/>
  <c r="I1063" i="1"/>
  <c r="J1063" i="1"/>
  <c r="K1063" i="1"/>
  <c r="A1064" i="1"/>
  <c r="B1064" i="1"/>
  <c r="C1064" i="1"/>
  <c r="D1064" i="1"/>
  <c r="E1064" i="1"/>
  <c r="F1064" i="1"/>
  <c r="G1064" i="1"/>
  <c r="H1064" i="1"/>
  <c r="I1064" i="1"/>
  <c r="J1064" i="1"/>
  <c r="K1064" i="1"/>
  <c r="A1065" i="1"/>
  <c r="B1065" i="1"/>
  <c r="C1065" i="1"/>
  <c r="D1065" i="1"/>
  <c r="E1065" i="1"/>
  <c r="F1065" i="1"/>
  <c r="G1065" i="1"/>
  <c r="H1065" i="1"/>
  <c r="I1065" i="1"/>
  <c r="J1065" i="1"/>
  <c r="K1065" i="1"/>
  <c r="A1066" i="1"/>
  <c r="B1066" i="1"/>
  <c r="C1066" i="1"/>
  <c r="D1066" i="1"/>
  <c r="E1066" i="1"/>
  <c r="F1066" i="1"/>
  <c r="G1066" i="1"/>
  <c r="H1066" i="1"/>
  <c r="I1066" i="1"/>
  <c r="J1066" i="1"/>
  <c r="K1066" i="1"/>
  <c r="A1067" i="1"/>
  <c r="B1067" i="1"/>
  <c r="C1067" i="1"/>
  <c r="D1067" i="1"/>
  <c r="E1067" i="1"/>
  <c r="F1067" i="1"/>
  <c r="G1067" i="1"/>
  <c r="H1067" i="1"/>
  <c r="I1067" i="1"/>
  <c r="J1067" i="1"/>
  <c r="K1067" i="1"/>
  <c r="A1068" i="1"/>
  <c r="B1068" i="1"/>
  <c r="C1068" i="1"/>
  <c r="D1068" i="1"/>
  <c r="E1068" i="1"/>
  <c r="F1068" i="1"/>
  <c r="G1068" i="1"/>
  <c r="H1068" i="1"/>
  <c r="I1068" i="1"/>
  <c r="J1068" i="1"/>
  <c r="K1068" i="1"/>
  <c r="A1069" i="1"/>
  <c r="B1069" i="1"/>
  <c r="C1069" i="1"/>
  <c r="D1069" i="1"/>
  <c r="E1069" i="1"/>
  <c r="F1069" i="1"/>
  <c r="G1069" i="1"/>
  <c r="H1069" i="1"/>
  <c r="I1069" i="1"/>
  <c r="J1069" i="1"/>
  <c r="K1069" i="1"/>
  <c r="A1070" i="1"/>
  <c r="B1070" i="1"/>
  <c r="C1070" i="1"/>
  <c r="D1070" i="1"/>
  <c r="E1070" i="1"/>
  <c r="F1070" i="1"/>
  <c r="G1070" i="1"/>
  <c r="H1070" i="1"/>
  <c r="I1070" i="1"/>
  <c r="J1070" i="1"/>
  <c r="K1070" i="1"/>
  <c r="A1071" i="1"/>
  <c r="B1071" i="1"/>
  <c r="C1071" i="1"/>
  <c r="D1071" i="1"/>
  <c r="E1071" i="1"/>
  <c r="F1071" i="1"/>
  <c r="G1071" i="1"/>
  <c r="H1071" i="1"/>
  <c r="I1071" i="1"/>
  <c r="J1071" i="1"/>
  <c r="K1071" i="1"/>
  <c r="A1072" i="1"/>
  <c r="B1072" i="1"/>
  <c r="C1072" i="1"/>
  <c r="D1072" i="1"/>
  <c r="E1072" i="1"/>
  <c r="F1072" i="1"/>
  <c r="G1072" i="1"/>
  <c r="H1072" i="1"/>
  <c r="I1072" i="1"/>
  <c r="J1072" i="1"/>
  <c r="K1072" i="1"/>
  <c r="A1073" i="1"/>
  <c r="B1073" i="1"/>
  <c r="C1073" i="1"/>
  <c r="D1073" i="1"/>
  <c r="E1073" i="1"/>
  <c r="F1073" i="1"/>
  <c r="G1073" i="1"/>
  <c r="H1073" i="1"/>
  <c r="I1073" i="1"/>
  <c r="J1073" i="1"/>
  <c r="K1073" i="1"/>
  <c r="A1074" i="1"/>
  <c r="B1074" i="1"/>
  <c r="C1074" i="1"/>
  <c r="D1074" i="1"/>
  <c r="E1074" i="1"/>
  <c r="F1074" i="1"/>
  <c r="G1074" i="1"/>
  <c r="H1074" i="1"/>
  <c r="I1074" i="1"/>
  <c r="J1074" i="1"/>
  <c r="K1074" i="1"/>
  <c r="A1075" i="1"/>
  <c r="B1075" i="1"/>
  <c r="C1075" i="1"/>
  <c r="D1075" i="1"/>
  <c r="E1075" i="1"/>
  <c r="F1075" i="1"/>
  <c r="G1075" i="1"/>
  <c r="H1075" i="1"/>
  <c r="I1075" i="1"/>
  <c r="J1075" i="1"/>
  <c r="K1075" i="1"/>
  <c r="A1076" i="1"/>
  <c r="B1076" i="1"/>
  <c r="C1076" i="1"/>
  <c r="D1076" i="1"/>
  <c r="E1076" i="1"/>
  <c r="F1076" i="1"/>
  <c r="G1076" i="1"/>
  <c r="H1076" i="1"/>
  <c r="I1076" i="1"/>
  <c r="J1076" i="1"/>
  <c r="K1076" i="1"/>
  <c r="A1077" i="1"/>
  <c r="B1077" i="1"/>
  <c r="C1077" i="1"/>
  <c r="D1077" i="1"/>
  <c r="E1077" i="1"/>
  <c r="F1077" i="1"/>
  <c r="G1077" i="1"/>
  <c r="H1077" i="1"/>
  <c r="I1077" i="1"/>
  <c r="J1077" i="1"/>
  <c r="K1077" i="1"/>
  <c r="A1078" i="1"/>
  <c r="B1078" i="1"/>
  <c r="C1078" i="1"/>
  <c r="D1078" i="1"/>
  <c r="E1078" i="1"/>
  <c r="F1078" i="1"/>
  <c r="G1078" i="1"/>
  <c r="H1078" i="1"/>
  <c r="I1078" i="1"/>
  <c r="J1078" i="1"/>
  <c r="K1078" i="1"/>
  <c r="A1079" i="1"/>
  <c r="B1079" i="1"/>
  <c r="C1079" i="1"/>
  <c r="D1079" i="1"/>
  <c r="E1079" i="1"/>
  <c r="F1079" i="1"/>
  <c r="G1079" i="1"/>
  <c r="H1079" i="1"/>
  <c r="I1079" i="1"/>
  <c r="J1079" i="1"/>
  <c r="K1079" i="1"/>
  <c r="A1080" i="1"/>
  <c r="B1080" i="1"/>
  <c r="C1080" i="1"/>
  <c r="D1080" i="1"/>
  <c r="E1080" i="1"/>
  <c r="F1080" i="1"/>
  <c r="G1080" i="1"/>
  <c r="H1080" i="1"/>
  <c r="I1080" i="1"/>
  <c r="J1080" i="1"/>
  <c r="K1080" i="1"/>
  <c r="A1081" i="1"/>
  <c r="B1081" i="1"/>
  <c r="C1081" i="1"/>
  <c r="D1081" i="1"/>
  <c r="E1081" i="1"/>
  <c r="F1081" i="1"/>
  <c r="G1081" i="1"/>
  <c r="H1081" i="1"/>
  <c r="I1081" i="1"/>
  <c r="J1081" i="1"/>
  <c r="K1081" i="1"/>
  <c r="A1082" i="1"/>
  <c r="B1082" i="1"/>
  <c r="C1082" i="1"/>
  <c r="D1082" i="1"/>
  <c r="E1082" i="1"/>
  <c r="F1082" i="1"/>
  <c r="G1082" i="1"/>
  <c r="H1082" i="1"/>
  <c r="I1082" i="1"/>
  <c r="J1082" i="1"/>
  <c r="K1082" i="1"/>
  <c r="A1083" i="1"/>
  <c r="B1083" i="1"/>
  <c r="C1083" i="1"/>
  <c r="D1083" i="1"/>
  <c r="E1083" i="1"/>
  <c r="F1083" i="1"/>
  <c r="G1083" i="1"/>
  <c r="H1083" i="1"/>
  <c r="I1083" i="1"/>
  <c r="J1083" i="1"/>
  <c r="K1083" i="1"/>
  <c r="A1084" i="1"/>
  <c r="B1084" i="1"/>
  <c r="C1084" i="1"/>
  <c r="D1084" i="1"/>
  <c r="E1084" i="1"/>
  <c r="F1084" i="1"/>
  <c r="G1084" i="1"/>
  <c r="H1084" i="1"/>
  <c r="I1084" i="1"/>
  <c r="J1084" i="1"/>
  <c r="K1084" i="1"/>
  <c r="A1085" i="1"/>
  <c r="B1085" i="1"/>
  <c r="C1085" i="1"/>
  <c r="D1085" i="1"/>
  <c r="E1085" i="1"/>
  <c r="F1085" i="1"/>
  <c r="G1085" i="1"/>
  <c r="H1085" i="1"/>
  <c r="I1085" i="1"/>
  <c r="J1085" i="1"/>
  <c r="K1085" i="1"/>
  <c r="A1086" i="1"/>
  <c r="B1086" i="1"/>
  <c r="C1086" i="1"/>
  <c r="D1086" i="1"/>
  <c r="E1086" i="1"/>
  <c r="F1086" i="1"/>
  <c r="G1086" i="1"/>
  <c r="H1086" i="1"/>
  <c r="I1086" i="1"/>
  <c r="J1086" i="1"/>
  <c r="K1086" i="1"/>
  <c r="A1087" i="1"/>
  <c r="B1087" i="1"/>
  <c r="C1087" i="1"/>
  <c r="D1087" i="1"/>
  <c r="E1087" i="1"/>
  <c r="F1087" i="1"/>
  <c r="G1087" i="1"/>
  <c r="H1087" i="1"/>
  <c r="I1087" i="1"/>
  <c r="J1087" i="1"/>
  <c r="K1087" i="1"/>
  <c r="A1088" i="1"/>
  <c r="B1088" i="1"/>
  <c r="C1088" i="1"/>
  <c r="D1088" i="1"/>
  <c r="E1088" i="1"/>
  <c r="F1088" i="1"/>
  <c r="G1088" i="1"/>
  <c r="H1088" i="1"/>
  <c r="I1088" i="1"/>
  <c r="J1088" i="1"/>
  <c r="K1088" i="1"/>
  <c r="A1089" i="1"/>
  <c r="B1089" i="1"/>
  <c r="C1089" i="1"/>
  <c r="D1089" i="1"/>
  <c r="E1089" i="1"/>
  <c r="F1089" i="1"/>
  <c r="G1089" i="1"/>
  <c r="H1089" i="1"/>
  <c r="I1089" i="1"/>
  <c r="J1089" i="1"/>
  <c r="K1089" i="1"/>
  <c r="A1090" i="1"/>
  <c r="B1090" i="1"/>
  <c r="C1090" i="1"/>
  <c r="D1090" i="1"/>
  <c r="E1090" i="1"/>
  <c r="F1090" i="1"/>
  <c r="G1090" i="1"/>
  <c r="H1090" i="1"/>
  <c r="I1090" i="1"/>
  <c r="J1090" i="1"/>
  <c r="K1090" i="1"/>
  <c r="A1091" i="1"/>
  <c r="B1091" i="1"/>
  <c r="C1091" i="1"/>
  <c r="D1091" i="1"/>
  <c r="E1091" i="1"/>
  <c r="F1091" i="1"/>
  <c r="G1091" i="1"/>
  <c r="H1091" i="1"/>
  <c r="I1091" i="1"/>
  <c r="J1091" i="1"/>
  <c r="K1091" i="1"/>
  <c r="A1092" i="1"/>
  <c r="B1092" i="1"/>
  <c r="C1092" i="1"/>
  <c r="D1092" i="1"/>
  <c r="E1092" i="1"/>
  <c r="F1092" i="1"/>
  <c r="G1092" i="1"/>
  <c r="H1092" i="1"/>
  <c r="I1092" i="1"/>
  <c r="J1092" i="1"/>
  <c r="K1092" i="1"/>
  <c r="A1093" i="1"/>
  <c r="B1093" i="1"/>
  <c r="C1093" i="1"/>
  <c r="D1093" i="1"/>
  <c r="E1093" i="1"/>
  <c r="F1093" i="1"/>
  <c r="G1093" i="1"/>
  <c r="H1093" i="1"/>
  <c r="I1093" i="1"/>
  <c r="J1093" i="1"/>
  <c r="K1093" i="1"/>
  <c r="A1094" i="1"/>
  <c r="B1094" i="1"/>
  <c r="C1094" i="1"/>
  <c r="D1094" i="1"/>
  <c r="E1094" i="1"/>
  <c r="F1094" i="1"/>
  <c r="G1094" i="1"/>
  <c r="H1094" i="1"/>
  <c r="I1094" i="1"/>
  <c r="J1094" i="1"/>
  <c r="K1094" i="1"/>
  <c r="A1095" i="1"/>
  <c r="B1095" i="1"/>
  <c r="C1095" i="1"/>
  <c r="D1095" i="1"/>
  <c r="E1095" i="1"/>
  <c r="F1095" i="1"/>
  <c r="G1095" i="1"/>
  <c r="H1095" i="1"/>
  <c r="I1095" i="1"/>
  <c r="J1095" i="1"/>
  <c r="K1095" i="1"/>
  <c r="A1096" i="1"/>
  <c r="B1096" i="1"/>
  <c r="C1096" i="1"/>
  <c r="D1096" i="1"/>
  <c r="E1096" i="1"/>
  <c r="F1096" i="1"/>
  <c r="G1096" i="1"/>
  <c r="H1096" i="1"/>
  <c r="I1096" i="1"/>
  <c r="J1096" i="1"/>
  <c r="K1096" i="1"/>
  <c r="A1097" i="1"/>
  <c r="B1097" i="1"/>
  <c r="C1097" i="1"/>
  <c r="D1097" i="1"/>
  <c r="E1097" i="1"/>
  <c r="F1097" i="1"/>
  <c r="G1097" i="1"/>
  <c r="H1097" i="1"/>
  <c r="I1097" i="1"/>
  <c r="J1097" i="1"/>
  <c r="K1097" i="1"/>
  <c r="A1098" i="1"/>
  <c r="B1098" i="1"/>
  <c r="C1098" i="1"/>
  <c r="D1098" i="1"/>
  <c r="E1098" i="1"/>
  <c r="F1098" i="1"/>
  <c r="G1098" i="1"/>
  <c r="H1098" i="1"/>
  <c r="I1098" i="1"/>
  <c r="J1098" i="1"/>
  <c r="K1098" i="1"/>
  <c r="A1099" i="1"/>
  <c r="B1099" i="1"/>
  <c r="C1099" i="1"/>
  <c r="D1099" i="1"/>
  <c r="E1099" i="1"/>
  <c r="F1099" i="1"/>
  <c r="G1099" i="1"/>
  <c r="H1099" i="1"/>
  <c r="I1099" i="1"/>
  <c r="J1099" i="1"/>
  <c r="K1099" i="1"/>
  <c r="A1100" i="1"/>
  <c r="B1100" i="1"/>
  <c r="C1100" i="1"/>
  <c r="D1100" i="1"/>
  <c r="E1100" i="1"/>
  <c r="F1100" i="1"/>
  <c r="G1100" i="1"/>
  <c r="H1100" i="1"/>
  <c r="I1100" i="1"/>
  <c r="J1100" i="1"/>
  <c r="K1100" i="1"/>
  <c r="A1101" i="1"/>
  <c r="B1101" i="1"/>
  <c r="C1101" i="1"/>
  <c r="D1101" i="1"/>
  <c r="E1101" i="1"/>
  <c r="F1101" i="1"/>
  <c r="G1101" i="1"/>
  <c r="H1101" i="1"/>
  <c r="I1101" i="1"/>
  <c r="J1101" i="1"/>
  <c r="K1101" i="1"/>
  <c r="A1102" i="1"/>
  <c r="B1102" i="1"/>
  <c r="C1102" i="1"/>
  <c r="D1102" i="1"/>
  <c r="E1102" i="1"/>
  <c r="F1102" i="1"/>
  <c r="G1102" i="1"/>
  <c r="H1102" i="1"/>
  <c r="I1102" i="1"/>
  <c r="J1102" i="1"/>
  <c r="K1102" i="1"/>
  <c r="A1103" i="1"/>
  <c r="B1103" i="1"/>
  <c r="C1103" i="1"/>
  <c r="D1103" i="1"/>
  <c r="E1103" i="1"/>
  <c r="F1103" i="1"/>
  <c r="G1103" i="1"/>
  <c r="H1103" i="1"/>
  <c r="I1103" i="1"/>
  <c r="J1103" i="1"/>
  <c r="K1103" i="1"/>
  <c r="A1104" i="1"/>
  <c r="B1104" i="1"/>
  <c r="C1104" i="1"/>
  <c r="D1104" i="1"/>
  <c r="E1104" i="1"/>
  <c r="F1104" i="1"/>
  <c r="G1104" i="1"/>
  <c r="H1104" i="1"/>
  <c r="I1104" i="1"/>
  <c r="J1104" i="1"/>
  <c r="K1104" i="1"/>
  <c r="A1105" i="1"/>
  <c r="B1105" i="1"/>
  <c r="C1105" i="1"/>
  <c r="D1105" i="1"/>
  <c r="E1105" i="1"/>
  <c r="F1105" i="1"/>
  <c r="G1105" i="1"/>
  <c r="H1105" i="1"/>
  <c r="I1105" i="1"/>
  <c r="J1105" i="1"/>
  <c r="K1105" i="1"/>
  <c r="A1106" i="1"/>
  <c r="B1106" i="1"/>
  <c r="C1106" i="1"/>
  <c r="D1106" i="1"/>
  <c r="E1106" i="1"/>
  <c r="F1106" i="1"/>
  <c r="G1106" i="1"/>
  <c r="H1106" i="1"/>
  <c r="I1106" i="1"/>
  <c r="J1106" i="1"/>
  <c r="K1106" i="1"/>
  <c r="A1107" i="1"/>
  <c r="B1107" i="1"/>
  <c r="C1107" i="1"/>
  <c r="D1107" i="1"/>
  <c r="E1107" i="1"/>
  <c r="F1107" i="1"/>
  <c r="G1107" i="1"/>
  <c r="H1107" i="1"/>
  <c r="I1107" i="1"/>
  <c r="J1107" i="1"/>
  <c r="K1107" i="1"/>
  <c r="A1108" i="1"/>
  <c r="B1108" i="1"/>
  <c r="C1108" i="1"/>
  <c r="D1108" i="1"/>
  <c r="E1108" i="1"/>
  <c r="F1108" i="1"/>
  <c r="G1108" i="1"/>
  <c r="H1108" i="1"/>
  <c r="I1108" i="1"/>
  <c r="J1108" i="1"/>
  <c r="K1108" i="1"/>
  <c r="A1109" i="1"/>
  <c r="B1109" i="1"/>
  <c r="C1109" i="1"/>
  <c r="D1109" i="1"/>
  <c r="E1109" i="1"/>
  <c r="F1109" i="1"/>
  <c r="G1109" i="1"/>
  <c r="H1109" i="1"/>
  <c r="I1109" i="1"/>
  <c r="J1109" i="1"/>
  <c r="K1109" i="1"/>
  <c r="A1110" i="1"/>
  <c r="B1110" i="1"/>
  <c r="C1110" i="1"/>
  <c r="D1110" i="1"/>
  <c r="E1110" i="1"/>
  <c r="F1110" i="1"/>
  <c r="G1110" i="1"/>
  <c r="H1110" i="1"/>
  <c r="I1110" i="1"/>
  <c r="J1110" i="1"/>
  <c r="K1110" i="1"/>
  <c r="A1111" i="1"/>
  <c r="B1111" i="1"/>
  <c r="C1111" i="1"/>
  <c r="D1111" i="1"/>
  <c r="E1111" i="1"/>
  <c r="F1111" i="1"/>
  <c r="G1111" i="1"/>
  <c r="H1111" i="1"/>
  <c r="I1111" i="1"/>
  <c r="J1111" i="1"/>
  <c r="K1111" i="1"/>
  <c r="A1112" i="1"/>
  <c r="B1112" i="1"/>
  <c r="C1112" i="1"/>
  <c r="D1112" i="1"/>
  <c r="E1112" i="1"/>
  <c r="F1112" i="1"/>
  <c r="G1112" i="1"/>
  <c r="H1112" i="1"/>
  <c r="I1112" i="1"/>
  <c r="J1112" i="1"/>
  <c r="K1112" i="1"/>
  <c r="A1113" i="1"/>
  <c r="B1113" i="1"/>
  <c r="C1113" i="1"/>
  <c r="D1113" i="1"/>
  <c r="E1113" i="1"/>
  <c r="F1113" i="1"/>
  <c r="G1113" i="1"/>
  <c r="H1113" i="1"/>
  <c r="I1113" i="1"/>
  <c r="J1113" i="1"/>
  <c r="K1113" i="1"/>
  <c r="A1114" i="1"/>
  <c r="B1114" i="1"/>
  <c r="C1114" i="1"/>
  <c r="D1114" i="1"/>
  <c r="E1114" i="1"/>
  <c r="F1114" i="1"/>
  <c r="G1114" i="1"/>
  <c r="H1114" i="1"/>
  <c r="I1114" i="1"/>
  <c r="J1114" i="1"/>
  <c r="K1114" i="1"/>
  <c r="A1115" i="1"/>
  <c r="B1115" i="1"/>
  <c r="C1115" i="1"/>
  <c r="D1115" i="1"/>
  <c r="E1115" i="1"/>
  <c r="F1115" i="1"/>
  <c r="G1115" i="1"/>
  <c r="H1115" i="1"/>
  <c r="I1115" i="1"/>
  <c r="J1115" i="1"/>
  <c r="K1115" i="1"/>
  <c r="A1116" i="1"/>
  <c r="B1116" i="1"/>
  <c r="C1116" i="1"/>
  <c r="D1116" i="1"/>
  <c r="E1116" i="1"/>
  <c r="F1116" i="1"/>
  <c r="G1116" i="1"/>
  <c r="H1116" i="1"/>
  <c r="I1116" i="1"/>
  <c r="J1116" i="1"/>
  <c r="K1116" i="1"/>
  <c r="A1117" i="1"/>
  <c r="B1117" i="1"/>
  <c r="C1117" i="1"/>
  <c r="D1117" i="1"/>
  <c r="E1117" i="1"/>
  <c r="F1117" i="1"/>
  <c r="G1117" i="1"/>
  <c r="H1117" i="1"/>
  <c r="I1117" i="1"/>
  <c r="J1117" i="1"/>
  <c r="K1117" i="1"/>
  <c r="A1118" i="1"/>
  <c r="B1118" i="1"/>
  <c r="C1118" i="1"/>
  <c r="D1118" i="1"/>
  <c r="E1118" i="1"/>
  <c r="F1118" i="1"/>
  <c r="G1118" i="1"/>
  <c r="H1118" i="1"/>
  <c r="I1118" i="1"/>
  <c r="J1118" i="1"/>
  <c r="K1118" i="1"/>
  <c r="A1119" i="1"/>
  <c r="B1119" i="1"/>
  <c r="C1119" i="1"/>
  <c r="D1119" i="1"/>
  <c r="E1119" i="1"/>
  <c r="F1119" i="1"/>
  <c r="G1119" i="1"/>
  <c r="H1119" i="1"/>
  <c r="I1119" i="1"/>
  <c r="J1119" i="1"/>
  <c r="K1119" i="1"/>
  <c r="A1120" i="1"/>
  <c r="B1120" i="1"/>
  <c r="C1120" i="1"/>
  <c r="D1120" i="1"/>
  <c r="E1120" i="1"/>
  <c r="F1120" i="1"/>
  <c r="G1120" i="1"/>
  <c r="H1120" i="1"/>
  <c r="I1120" i="1"/>
  <c r="J1120" i="1"/>
  <c r="K1120" i="1"/>
  <c r="A1121" i="1"/>
  <c r="B1121" i="1"/>
  <c r="C1121" i="1"/>
  <c r="D1121" i="1"/>
  <c r="E1121" i="1"/>
  <c r="F1121" i="1"/>
  <c r="G1121" i="1"/>
  <c r="H1121" i="1"/>
  <c r="I1121" i="1"/>
  <c r="J1121" i="1"/>
  <c r="K1121" i="1"/>
  <c r="A1122" i="1"/>
  <c r="B1122" i="1"/>
  <c r="C1122" i="1"/>
  <c r="D1122" i="1"/>
  <c r="E1122" i="1"/>
  <c r="F1122" i="1"/>
  <c r="G1122" i="1"/>
  <c r="H1122" i="1"/>
  <c r="I1122" i="1"/>
  <c r="J1122" i="1"/>
  <c r="K1122" i="1"/>
  <c r="A1123" i="1"/>
  <c r="B1123" i="1"/>
  <c r="C1123" i="1"/>
  <c r="D1123" i="1"/>
  <c r="E1123" i="1"/>
  <c r="F1123" i="1"/>
  <c r="G1123" i="1"/>
  <c r="H1123" i="1"/>
  <c r="I1123" i="1"/>
  <c r="J1123" i="1"/>
  <c r="K1123" i="1"/>
  <c r="A1124" i="1"/>
  <c r="B1124" i="1"/>
  <c r="C1124" i="1"/>
  <c r="D1124" i="1"/>
  <c r="E1124" i="1"/>
  <c r="F1124" i="1"/>
  <c r="G1124" i="1"/>
  <c r="H1124" i="1"/>
  <c r="I1124" i="1"/>
  <c r="J1124" i="1"/>
  <c r="K1124" i="1"/>
  <c r="A1125" i="1"/>
  <c r="B1125" i="1"/>
  <c r="C1125" i="1"/>
  <c r="D1125" i="1"/>
  <c r="E1125" i="1"/>
  <c r="F1125" i="1"/>
  <c r="G1125" i="1"/>
  <c r="H1125" i="1"/>
  <c r="I1125" i="1"/>
  <c r="J1125" i="1"/>
  <c r="K1125" i="1"/>
  <c r="A1126" i="1"/>
  <c r="B1126" i="1"/>
  <c r="C1126" i="1"/>
  <c r="D1126" i="1"/>
  <c r="E1126" i="1"/>
  <c r="F1126" i="1"/>
  <c r="G1126" i="1"/>
  <c r="H1126" i="1"/>
  <c r="I1126" i="1"/>
  <c r="J1126" i="1"/>
  <c r="K1126" i="1"/>
  <c r="A1127" i="1"/>
  <c r="B1127" i="1"/>
  <c r="C1127" i="1"/>
  <c r="D1127" i="1"/>
  <c r="E1127" i="1"/>
  <c r="F1127" i="1"/>
  <c r="G1127" i="1"/>
  <c r="H1127" i="1"/>
  <c r="I1127" i="1"/>
  <c r="J1127" i="1"/>
  <c r="K1127" i="1"/>
  <c r="A1128" i="1"/>
  <c r="B1128" i="1"/>
  <c r="C1128" i="1"/>
  <c r="D1128" i="1"/>
  <c r="E1128" i="1"/>
  <c r="F1128" i="1"/>
  <c r="G1128" i="1"/>
  <c r="H1128" i="1"/>
  <c r="I1128" i="1"/>
  <c r="J1128" i="1"/>
  <c r="K1128" i="1"/>
  <c r="A1129" i="1"/>
  <c r="B1129" i="1"/>
  <c r="C1129" i="1"/>
  <c r="D1129" i="1"/>
  <c r="E1129" i="1"/>
  <c r="F1129" i="1"/>
  <c r="G1129" i="1"/>
  <c r="H1129" i="1"/>
  <c r="I1129" i="1"/>
  <c r="J1129" i="1"/>
  <c r="K1129" i="1"/>
  <c r="A1130" i="1"/>
  <c r="B1130" i="1"/>
  <c r="C1130" i="1"/>
  <c r="D1130" i="1"/>
  <c r="E1130" i="1"/>
  <c r="F1130" i="1"/>
  <c r="G1130" i="1"/>
  <c r="H1130" i="1"/>
  <c r="I1130" i="1"/>
  <c r="J1130" i="1"/>
  <c r="K1130" i="1"/>
  <c r="A1131" i="1"/>
  <c r="B1131" i="1"/>
  <c r="C1131" i="1"/>
  <c r="D1131" i="1"/>
  <c r="E1131" i="1"/>
  <c r="F1131" i="1"/>
  <c r="G1131" i="1"/>
  <c r="H1131" i="1"/>
  <c r="I1131" i="1"/>
  <c r="J1131" i="1"/>
  <c r="K1131" i="1"/>
  <c r="A1132" i="1"/>
  <c r="B1132" i="1"/>
  <c r="C1132" i="1"/>
  <c r="D1132" i="1"/>
  <c r="E1132" i="1"/>
  <c r="F1132" i="1"/>
  <c r="G1132" i="1"/>
  <c r="H1132" i="1"/>
  <c r="I1132" i="1"/>
  <c r="J1132" i="1"/>
  <c r="K1132" i="1"/>
  <c r="A1133" i="1"/>
  <c r="B1133" i="1"/>
  <c r="C1133" i="1"/>
  <c r="D1133" i="1"/>
  <c r="E1133" i="1"/>
  <c r="F1133" i="1"/>
  <c r="G1133" i="1"/>
  <c r="H1133" i="1"/>
  <c r="I1133" i="1"/>
  <c r="J1133" i="1"/>
  <c r="K1133" i="1"/>
  <c r="A1134" i="1"/>
  <c r="B1134" i="1"/>
  <c r="C1134" i="1"/>
  <c r="D1134" i="1"/>
  <c r="E1134" i="1"/>
  <c r="F1134" i="1"/>
  <c r="G1134" i="1"/>
  <c r="H1134" i="1"/>
  <c r="I1134" i="1"/>
  <c r="J1134" i="1"/>
  <c r="K1134" i="1"/>
  <c r="A1135" i="1"/>
  <c r="B1135" i="1"/>
  <c r="C1135" i="1"/>
  <c r="D1135" i="1"/>
  <c r="E1135" i="1"/>
  <c r="F1135" i="1"/>
  <c r="G1135" i="1"/>
  <c r="H1135" i="1"/>
  <c r="I1135" i="1"/>
  <c r="J1135" i="1"/>
  <c r="K1135" i="1"/>
  <c r="A1136" i="1"/>
  <c r="B1136" i="1"/>
  <c r="C1136" i="1"/>
  <c r="D1136" i="1"/>
  <c r="E1136" i="1"/>
  <c r="F1136" i="1"/>
  <c r="G1136" i="1"/>
  <c r="H1136" i="1"/>
  <c r="I1136" i="1"/>
  <c r="J1136" i="1"/>
  <c r="K1136" i="1"/>
  <c r="A1137" i="1"/>
  <c r="B1137" i="1"/>
  <c r="C1137" i="1"/>
  <c r="D1137" i="1"/>
  <c r="E1137" i="1"/>
  <c r="F1137" i="1"/>
  <c r="G1137" i="1"/>
  <c r="H1137" i="1"/>
  <c r="I1137" i="1"/>
  <c r="J1137" i="1"/>
  <c r="K1137" i="1"/>
  <c r="A1138" i="1"/>
  <c r="B1138" i="1"/>
  <c r="C1138" i="1"/>
  <c r="D1138" i="1"/>
  <c r="E1138" i="1"/>
  <c r="F1138" i="1"/>
  <c r="G1138" i="1"/>
  <c r="H1138" i="1"/>
  <c r="I1138" i="1"/>
  <c r="J1138" i="1"/>
  <c r="K1138" i="1"/>
  <c r="A1139" i="1"/>
  <c r="B1139" i="1"/>
  <c r="C1139" i="1"/>
  <c r="D1139" i="1"/>
  <c r="E1139" i="1"/>
  <c r="F1139" i="1"/>
  <c r="G1139" i="1"/>
  <c r="H1139" i="1"/>
  <c r="I1139" i="1"/>
  <c r="J1139" i="1"/>
  <c r="K1139" i="1"/>
  <c r="A1140" i="1"/>
  <c r="B1140" i="1"/>
  <c r="C1140" i="1"/>
  <c r="D1140" i="1"/>
  <c r="E1140" i="1"/>
  <c r="F1140" i="1"/>
  <c r="G1140" i="1"/>
  <c r="H1140" i="1"/>
  <c r="I1140" i="1"/>
  <c r="J1140" i="1"/>
  <c r="K1140" i="1"/>
  <c r="A1141" i="1"/>
  <c r="B1141" i="1"/>
  <c r="C1141" i="1"/>
  <c r="D1141" i="1"/>
  <c r="E1141" i="1"/>
  <c r="F1141" i="1"/>
  <c r="G1141" i="1"/>
  <c r="H1141" i="1"/>
  <c r="I1141" i="1"/>
  <c r="J1141" i="1"/>
  <c r="K1141" i="1"/>
  <c r="A1142" i="1"/>
  <c r="B1142" i="1"/>
  <c r="C1142" i="1"/>
  <c r="D1142" i="1"/>
  <c r="E1142" i="1"/>
  <c r="F1142" i="1"/>
  <c r="G1142" i="1"/>
  <c r="H1142" i="1"/>
  <c r="I1142" i="1"/>
  <c r="J1142" i="1"/>
  <c r="K1142" i="1"/>
  <c r="A1143" i="1"/>
  <c r="B1143" i="1"/>
  <c r="C1143" i="1"/>
  <c r="D1143" i="1"/>
  <c r="E1143" i="1"/>
  <c r="F1143" i="1"/>
  <c r="G1143" i="1"/>
  <c r="H1143" i="1"/>
  <c r="I1143" i="1"/>
  <c r="J1143" i="1"/>
  <c r="K1143" i="1"/>
  <c r="A1144" i="1"/>
  <c r="B1144" i="1"/>
  <c r="C1144" i="1"/>
  <c r="D1144" i="1"/>
  <c r="E1144" i="1"/>
  <c r="F1144" i="1"/>
  <c r="G1144" i="1"/>
  <c r="H1144" i="1"/>
  <c r="I1144" i="1"/>
  <c r="J1144" i="1"/>
  <c r="K1144" i="1"/>
  <c r="A1145" i="1"/>
  <c r="B1145" i="1"/>
  <c r="C1145" i="1"/>
  <c r="D1145" i="1"/>
  <c r="E1145" i="1"/>
  <c r="F1145" i="1"/>
  <c r="G1145" i="1"/>
  <c r="H1145" i="1"/>
  <c r="I1145" i="1"/>
  <c r="J1145" i="1"/>
  <c r="K1145" i="1"/>
  <c r="A1146" i="1"/>
  <c r="B1146" i="1"/>
  <c r="C1146" i="1"/>
  <c r="D1146" i="1"/>
  <c r="E1146" i="1"/>
  <c r="F1146" i="1"/>
  <c r="G1146" i="1"/>
  <c r="H1146" i="1"/>
  <c r="I1146" i="1"/>
  <c r="J1146" i="1"/>
  <c r="K1146" i="1"/>
  <c r="A1147" i="1"/>
  <c r="B1147" i="1"/>
  <c r="C1147" i="1"/>
  <c r="D1147" i="1"/>
  <c r="E1147" i="1"/>
  <c r="F1147" i="1"/>
  <c r="G1147" i="1"/>
  <c r="H1147" i="1"/>
  <c r="I1147" i="1"/>
  <c r="J1147" i="1"/>
  <c r="K1147" i="1"/>
  <c r="A1148" i="1"/>
  <c r="B1148" i="1"/>
  <c r="C1148" i="1"/>
  <c r="D1148" i="1"/>
  <c r="E1148" i="1"/>
  <c r="F1148" i="1"/>
  <c r="G1148" i="1"/>
  <c r="H1148" i="1"/>
  <c r="I1148" i="1"/>
  <c r="J1148" i="1"/>
  <c r="K1148" i="1"/>
  <c r="A1149" i="1"/>
  <c r="B1149" i="1"/>
  <c r="C1149" i="1"/>
  <c r="D1149" i="1"/>
  <c r="E1149" i="1"/>
  <c r="F1149" i="1"/>
  <c r="G1149" i="1"/>
  <c r="H1149" i="1"/>
  <c r="I1149" i="1"/>
  <c r="J1149" i="1"/>
  <c r="K1149" i="1"/>
  <c r="A1150" i="1"/>
  <c r="B1150" i="1"/>
  <c r="C1150" i="1"/>
  <c r="D1150" i="1"/>
  <c r="E1150" i="1"/>
  <c r="F1150" i="1"/>
  <c r="G1150" i="1"/>
  <c r="H1150" i="1"/>
  <c r="I1150" i="1"/>
  <c r="J1150" i="1"/>
  <c r="K1150" i="1"/>
  <c r="A1151" i="1"/>
  <c r="B1151" i="1"/>
  <c r="C1151" i="1"/>
  <c r="D1151" i="1"/>
  <c r="E1151" i="1"/>
  <c r="F1151" i="1"/>
  <c r="G1151" i="1"/>
  <c r="H1151" i="1"/>
  <c r="I1151" i="1"/>
  <c r="J1151" i="1"/>
  <c r="K1151" i="1"/>
  <c r="A1152" i="1"/>
  <c r="B1152" i="1"/>
  <c r="C1152" i="1"/>
  <c r="D1152" i="1"/>
  <c r="E1152" i="1"/>
  <c r="F1152" i="1"/>
  <c r="G1152" i="1"/>
  <c r="H1152" i="1"/>
  <c r="I1152" i="1"/>
  <c r="J1152" i="1"/>
  <c r="K1152" i="1"/>
  <c r="A1153" i="1"/>
  <c r="B1153" i="1"/>
  <c r="C1153" i="1"/>
  <c r="D1153" i="1"/>
  <c r="E1153" i="1"/>
  <c r="F1153" i="1"/>
  <c r="G1153" i="1"/>
  <c r="H1153" i="1"/>
  <c r="I1153" i="1"/>
  <c r="J1153" i="1"/>
  <c r="K1153" i="1"/>
  <c r="A1154" i="1"/>
  <c r="B1154" i="1"/>
  <c r="C1154" i="1"/>
  <c r="D1154" i="1"/>
  <c r="E1154" i="1"/>
  <c r="F1154" i="1"/>
  <c r="G1154" i="1"/>
  <c r="H1154" i="1"/>
  <c r="I1154" i="1"/>
  <c r="J1154" i="1"/>
  <c r="K1154" i="1"/>
  <c r="A1155" i="1"/>
  <c r="B1155" i="1"/>
  <c r="C1155" i="1"/>
  <c r="D1155" i="1"/>
  <c r="E1155" i="1"/>
  <c r="F1155" i="1"/>
  <c r="G1155" i="1"/>
  <c r="H1155" i="1"/>
  <c r="I1155" i="1"/>
  <c r="J1155" i="1"/>
  <c r="K1155" i="1"/>
  <c r="A1156" i="1"/>
  <c r="B1156" i="1"/>
  <c r="C1156" i="1"/>
  <c r="D1156" i="1"/>
  <c r="E1156" i="1"/>
  <c r="F1156" i="1"/>
  <c r="G1156" i="1"/>
  <c r="H1156" i="1"/>
  <c r="I1156" i="1"/>
  <c r="J1156" i="1"/>
  <c r="K1156" i="1"/>
  <c r="A1157" i="1"/>
  <c r="B1157" i="1"/>
  <c r="C1157" i="1"/>
  <c r="D1157" i="1"/>
  <c r="E1157" i="1"/>
  <c r="F1157" i="1"/>
  <c r="G1157" i="1"/>
  <c r="H1157" i="1"/>
  <c r="I1157" i="1"/>
  <c r="J1157" i="1"/>
  <c r="K1157" i="1"/>
  <c r="A1158" i="1"/>
  <c r="B1158" i="1"/>
  <c r="C1158" i="1"/>
  <c r="D1158" i="1"/>
  <c r="E1158" i="1"/>
  <c r="F1158" i="1"/>
  <c r="G1158" i="1"/>
  <c r="H1158" i="1"/>
  <c r="I1158" i="1"/>
  <c r="J1158" i="1"/>
  <c r="K1158" i="1"/>
  <c r="A1159" i="1"/>
  <c r="B1159" i="1"/>
  <c r="C1159" i="1"/>
  <c r="D1159" i="1"/>
  <c r="E1159" i="1"/>
  <c r="F1159" i="1"/>
  <c r="G1159" i="1"/>
  <c r="H1159" i="1"/>
  <c r="I1159" i="1"/>
  <c r="J1159" i="1"/>
  <c r="K1159" i="1"/>
  <c r="A1160" i="1"/>
  <c r="B1160" i="1"/>
  <c r="C1160" i="1"/>
  <c r="D1160" i="1"/>
  <c r="E1160" i="1"/>
  <c r="F1160" i="1"/>
  <c r="G1160" i="1"/>
  <c r="H1160" i="1"/>
  <c r="I1160" i="1"/>
  <c r="J1160" i="1"/>
  <c r="K1160" i="1"/>
  <c r="A1161" i="1"/>
  <c r="B1161" i="1"/>
  <c r="C1161" i="1"/>
  <c r="D1161" i="1"/>
  <c r="E1161" i="1"/>
  <c r="F1161" i="1"/>
  <c r="G1161" i="1"/>
  <c r="H1161" i="1"/>
  <c r="I1161" i="1"/>
  <c r="J1161" i="1"/>
  <c r="K1161" i="1"/>
  <c r="A1162" i="1"/>
  <c r="B1162" i="1"/>
  <c r="C1162" i="1"/>
  <c r="D1162" i="1"/>
  <c r="E1162" i="1"/>
  <c r="F1162" i="1"/>
  <c r="G1162" i="1"/>
  <c r="H1162" i="1"/>
  <c r="I1162" i="1"/>
  <c r="J1162" i="1"/>
  <c r="K1162" i="1"/>
  <c r="A1163" i="1"/>
  <c r="B1163" i="1"/>
  <c r="C1163" i="1"/>
  <c r="D1163" i="1"/>
  <c r="E1163" i="1"/>
  <c r="F1163" i="1"/>
  <c r="G1163" i="1"/>
  <c r="H1163" i="1"/>
  <c r="I1163" i="1"/>
  <c r="J1163" i="1"/>
  <c r="K1163" i="1"/>
  <c r="A1164" i="1"/>
  <c r="B1164" i="1"/>
  <c r="C1164" i="1"/>
  <c r="D1164" i="1"/>
  <c r="E1164" i="1"/>
  <c r="F1164" i="1"/>
  <c r="G1164" i="1"/>
  <c r="H1164" i="1"/>
  <c r="I1164" i="1"/>
  <c r="J1164" i="1"/>
  <c r="K1164" i="1"/>
  <c r="A1165" i="1"/>
  <c r="B1165" i="1"/>
  <c r="C1165" i="1"/>
  <c r="D1165" i="1"/>
  <c r="E1165" i="1"/>
  <c r="F1165" i="1"/>
  <c r="G1165" i="1"/>
  <c r="H1165" i="1"/>
  <c r="I1165" i="1"/>
  <c r="J1165" i="1"/>
  <c r="K1165" i="1"/>
  <c r="A1166" i="1"/>
  <c r="B1166" i="1"/>
  <c r="C1166" i="1"/>
  <c r="D1166" i="1"/>
  <c r="E1166" i="1"/>
  <c r="F1166" i="1"/>
  <c r="G1166" i="1"/>
  <c r="H1166" i="1"/>
  <c r="I1166" i="1"/>
  <c r="J1166" i="1"/>
  <c r="K1166" i="1"/>
  <c r="A1167" i="1"/>
  <c r="B1167" i="1"/>
  <c r="C1167" i="1"/>
  <c r="D1167" i="1"/>
  <c r="E1167" i="1"/>
  <c r="F1167" i="1"/>
  <c r="G1167" i="1"/>
  <c r="H1167" i="1"/>
  <c r="I1167" i="1"/>
  <c r="J1167" i="1"/>
  <c r="K1167" i="1"/>
  <c r="A1168" i="1"/>
  <c r="B1168" i="1"/>
  <c r="C1168" i="1"/>
  <c r="D1168" i="1"/>
  <c r="E1168" i="1"/>
  <c r="F1168" i="1"/>
  <c r="G1168" i="1"/>
  <c r="H1168" i="1"/>
  <c r="I1168" i="1"/>
  <c r="J1168" i="1"/>
  <c r="K1168" i="1"/>
  <c r="A1169" i="1"/>
  <c r="B1169" i="1"/>
  <c r="C1169" i="1"/>
  <c r="D1169" i="1"/>
  <c r="E1169" i="1"/>
  <c r="F1169" i="1"/>
  <c r="G1169" i="1"/>
  <c r="H1169" i="1"/>
  <c r="I1169" i="1"/>
  <c r="J1169" i="1"/>
  <c r="K1169" i="1"/>
  <c r="A1170" i="1"/>
  <c r="B1170" i="1"/>
  <c r="C1170" i="1"/>
  <c r="D1170" i="1"/>
  <c r="E1170" i="1"/>
  <c r="F1170" i="1"/>
  <c r="G1170" i="1"/>
  <c r="H1170" i="1"/>
  <c r="I1170" i="1"/>
  <c r="J1170" i="1"/>
  <c r="K1170" i="1"/>
  <c r="A1171" i="1"/>
  <c r="B1171" i="1"/>
  <c r="C1171" i="1"/>
  <c r="D1171" i="1"/>
  <c r="E1171" i="1"/>
  <c r="F1171" i="1"/>
  <c r="G1171" i="1"/>
  <c r="H1171" i="1"/>
  <c r="I1171" i="1"/>
  <c r="J1171" i="1"/>
  <c r="K1171" i="1"/>
  <c r="A1172" i="1"/>
  <c r="B1172" i="1"/>
  <c r="C1172" i="1"/>
  <c r="D1172" i="1"/>
  <c r="E1172" i="1"/>
  <c r="F1172" i="1"/>
  <c r="G1172" i="1"/>
  <c r="H1172" i="1"/>
  <c r="I1172" i="1"/>
  <c r="J1172" i="1"/>
  <c r="K1172" i="1"/>
  <c r="A1173" i="1"/>
  <c r="B1173" i="1"/>
  <c r="C1173" i="1"/>
  <c r="D1173" i="1"/>
  <c r="E1173" i="1"/>
  <c r="F1173" i="1"/>
  <c r="G1173" i="1"/>
  <c r="H1173" i="1"/>
  <c r="I1173" i="1"/>
  <c r="J1173" i="1"/>
  <c r="K1173" i="1"/>
  <c r="A1174" i="1"/>
  <c r="B1174" i="1"/>
  <c r="C1174" i="1"/>
  <c r="D1174" i="1"/>
  <c r="E1174" i="1"/>
  <c r="F1174" i="1"/>
  <c r="G1174" i="1"/>
  <c r="H1174" i="1"/>
  <c r="I1174" i="1"/>
  <c r="J1174" i="1"/>
  <c r="K1174" i="1"/>
  <c r="A1175" i="1"/>
  <c r="B1175" i="1"/>
  <c r="C1175" i="1"/>
  <c r="D1175" i="1"/>
  <c r="E1175" i="1"/>
  <c r="F1175" i="1"/>
  <c r="G1175" i="1"/>
  <c r="H1175" i="1"/>
  <c r="I1175" i="1"/>
  <c r="J1175" i="1"/>
  <c r="K1175" i="1"/>
  <c r="A1176" i="1"/>
  <c r="B1176" i="1"/>
  <c r="C1176" i="1"/>
  <c r="D1176" i="1"/>
  <c r="E1176" i="1"/>
  <c r="F1176" i="1"/>
  <c r="G1176" i="1"/>
  <c r="H1176" i="1"/>
  <c r="I1176" i="1"/>
  <c r="J1176" i="1"/>
  <c r="K1176" i="1"/>
  <c r="A1177" i="1"/>
  <c r="B1177" i="1"/>
  <c r="C1177" i="1"/>
  <c r="D1177" i="1"/>
  <c r="E1177" i="1"/>
  <c r="F1177" i="1"/>
  <c r="G1177" i="1"/>
  <c r="H1177" i="1"/>
  <c r="I1177" i="1"/>
  <c r="J1177" i="1"/>
  <c r="K1177" i="1"/>
  <c r="A1178" i="1"/>
  <c r="B1178" i="1"/>
  <c r="C1178" i="1"/>
  <c r="D1178" i="1"/>
  <c r="E1178" i="1"/>
  <c r="F1178" i="1"/>
  <c r="G1178" i="1"/>
  <c r="H1178" i="1"/>
  <c r="I1178" i="1"/>
  <c r="J1178" i="1"/>
  <c r="K1178" i="1"/>
  <c r="A1179" i="1"/>
  <c r="B1179" i="1"/>
  <c r="C1179" i="1"/>
  <c r="D1179" i="1"/>
  <c r="E1179" i="1"/>
  <c r="F1179" i="1"/>
  <c r="G1179" i="1"/>
  <c r="H1179" i="1"/>
  <c r="I1179" i="1"/>
  <c r="J1179" i="1"/>
  <c r="K1179" i="1"/>
  <c r="A1180" i="1"/>
  <c r="B1180" i="1"/>
  <c r="C1180" i="1"/>
  <c r="D1180" i="1"/>
  <c r="E1180" i="1"/>
  <c r="F1180" i="1"/>
  <c r="G1180" i="1"/>
  <c r="H1180" i="1"/>
  <c r="I1180" i="1"/>
  <c r="J1180" i="1"/>
  <c r="K1180" i="1"/>
  <c r="A1181" i="1"/>
  <c r="B1181" i="1"/>
  <c r="C1181" i="1"/>
  <c r="D1181" i="1"/>
  <c r="E1181" i="1"/>
  <c r="F1181" i="1"/>
  <c r="G1181" i="1"/>
  <c r="H1181" i="1"/>
  <c r="I1181" i="1"/>
  <c r="J1181" i="1"/>
  <c r="K1181" i="1"/>
  <c r="A1182" i="1"/>
  <c r="B1182" i="1"/>
  <c r="C1182" i="1"/>
  <c r="D1182" i="1"/>
  <c r="E1182" i="1"/>
  <c r="F1182" i="1"/>
  <c r="G1182" i="1"/>
  <c r="H1182" i="1"/>
  <c r="I1182" i="1"/>
  <c r="J1182" i="1"/>
  <c r="K1182" i="1"/>
  <c r="A1183" i="1"/>
  <c r="B1183" i="1"/>
  <c r="C1183" i="1"/>
  <c r="D1183" i="1"/>
  <c r="E1183" i="1"/>
  <c r="F1183" i="1"/>
  <c r="G1183" i="1"/>
  <c r="H1183" i="1"/>
  <c r="I1183" i="1"/>
  <c r="J1183" i="1"/>
  <c r="K1183" i="1"/>
  <c r="A1184" i="1"/>
  <c r="B1184" i="1"/>
  <c r="C1184" i="1"/>
  <c r="D1184" i="1"/>
  <c r="E1184" i="1"/>
  <c r="F1184" i="1"/>
  <c r="G1184" i="1"/>
  <c r="H1184" i="1"/>
  <c r="I1184" i="1"/>
  <c r="J1184" i="1"/>
  <c r="K1184" i="1"/>
  <c r="A1185" i="1"/>
  <c r="B1185" i="1"/>
  <c r="C1185" i="1"/>
  <c r="D1185" i="1"/>
  <c r="E1185" i="1"/>
  <c r="F1185" i="1"/>
  <c r="G1185" i="1"/>
  <c r="H1185" i="1"/>
  <c r="I1185" i="1"/>
  <c r="J1185" i="1"/>
  <c r="K1185" i="1"/>
  <c r="A1186" i="1"/>
  <c r="B1186" i="1"/>
  <c r="C1186" i="1"/>
  <c r="D1186" i="1"/>
  <c r="E1186" i="1"/>
  <c r="F1186" i="1"/>
  <c r="G1186" i="1"/>
  <c r="H1186" i="1"/>
  <c r="I1186" i="1"/>
  <c r="J1186" i="1"/>
  <c r="K1186" i="1"/>
  <c r="A1187" i="1"/>
  <c r="B1187" i="1"/>
  <c r="C1187" i="1"/>
  <c r="D1187" i="1"/>
  <c r="E1187" i="1"/>
  <c r="F1187" i="1"/>
  <c r="G1187" i="1"/>
  <c r="H1187" i="1"/>
  <c r="I1187" i="1"/>
  <c r="J1187" i="1"/>
  <c r="K1187" i="1"/>
  <c r="A1188" i="1"/>
  <c r="B1188" i="1"/>
  <c r="C1188" i="1"/>
  <c r="D1188" i="1"/>
  <c r="E1188" i="1"/>
  <c r="F1188" i="1"/>
  <c r="G1188" i="1"/>
  <c r="H1188" i="1"/>
  <c r="I1188" i="1"/>
  <c r="J1188" i="1"/>
  <c r="K1188" i="1"/>
  <c r="A1189" i="1"/>
  <c r="B1189" i="1"/>
  <c r="C1189" i="1"/>
  <c r="D1189" i="1"/>
  <c r="E1189" i="1"/>
  <c r="F1189" i="1"/>
  <c r="G1189" i="1"/>
  <c r="H1189" i="1"/>
  <c r="I1189" i="1"/>
  <c r="J1189" i="1"/>
  <c r="K1189" i="1"/>
  <c r="A1190" i="1"/>
  <c r="B1190" i="1"/>
  <c r="C1190" i="1"/>
  <c r="D1190" i="1"/>
  <c r="E1190" i="1"/>
  <c r="F1190" i="1"/>
  <c r="G1190" i="1"/>
  <c r="H1190" i="1"/>
  <c r="I1190" i="1"/>
  <c r="J1190" i="1"/>
  <c r="K1190" i="1"/>
  <c r="A1191" i="1"/>
  <c r="B1191" i="1"/>
  <c r="C1191" i="1"/>
  <c r="D1191" i="1"/>
  <c r="E1191" i="1"/>
  <c r="F1191" i="1"/>
  <c r="G1191" i="1"/>
  <c r="H1191" i="1"/>
  <c r="I1191" i="1"/>
  <c r="J1191" i="1"/>
  <c r="K1191" i="1"/>
  <c r="A1192" i="1"/>
  <c r="B1192" i="1"/>
  <c r="C1192" i="1"/>
  <c r="D1192" i="1"/>
  <c r="E1192" i="1"/>
  <c r="F1192" i="1"/>
  <c r="G1192" i="1"/>
  <c r="H1192" i="1"/>
  <c r="I1192" i="1"/>
  <c r="J1192" i="1"/>
  <c r="K1192" i="1"/>
  <c r="A1193" i="1"/>
  <c r="B1193" i="1"/>
  <c r="C1193" i="1"/>
  <c r="D1193" i="1"/>
  <c r="E1193" i="1"/>
  <c r="F1193" i="1"/>
  <c r="G1193" i="1"/>
  <c r="H1193" i="1"/>
  <c r="I1193" i="1"/>
  <c r="J1193" i="1"/>
  <c r="K1193" i="1"/>
  <c r="A1194" i="1"/>
  <c r="B1194" i="1"/>
  <c r="C1194" i="1"/>
  <c r="D1194" i="1"/>
  <c r="E1194" i="1"/>
  <c r="F1194" i="1"/>
  <c r="G1194" i="1"/>
  <c r="H1194" i="1"/>
  <c r="I1194" i="1"/>
  <c r="J1194" i="1"/>
  <c r="K1194" i="1"/>
  <c r="A1195" i="1"/>
  <c r="B1195" i="1"/>
  <c r="C1195" i="1"/>
  <c r="D1195" i="1"/>
  <c r="E1195" i="1"/>
  <c r="F1195" i="1"/>
  <c r="G1195" i="1"/>
  <c r="H1195" i="1"/>
  <c r="I1195" i="1"/>
  <c r="J1195" i="1"/>
  <c r="K1195" i="1"/>
  <c r="A1196" i="1"/>
  <c r="B1196" i="1"/>
  <c r="C1196" i="1"/>
  <c r="D1196" i="1"/>
  <c r="E1196" i="1"/>
  <c r="F1196" i="1"/>
  <c r="G1196" i="1"/>
  <c r="H1196" i="1"/>
  <c r="I1196" i="1"/>
  <c r="J1196" i="1"/>
  <c r="K1196" i="1"/>
  <c r="A1197" i="1"/>
  <c r="B1197" i="1"/>
  <c r="C1197" i="1"/>
  <c r="D1197" i="1"/>
  <c r="E1197" i="1"/>
  <c r="F1197" i="1"/>
  <c r="G1197" i="1"/>
  <c r="H1197" i="1"/>
  <c r="I1197" i="1"/>
  <c r="J1197" i="1"/>
  <c r="K1197" i="1"/>
  <c r="A1198" i="1"/>
  <c r="B1198" i="1"/>
  <c r="C1198" i="1"/>
  <c r="D1198" i="1"/>
  <c r="E1198" i="1"/>
  <c r="F1198" i="1"/>
  <c r="G1198" i="1"/>
  <c r="H1198" i="1"/>
  <c r="I1198" i="1"/>
  <c r="J1198" i="1"/>
  <c r="K1198" i="1"/>
  <c r="A1199" i="1"/>
  <c r="B1199" i="1"/>
  <c r="C1199" i="1"/>
  <c r="D1199" i="1"/>
  <c r="E1199" i="1"/>
  <c r="F1199" i="1"/>
  <c r="G1199" i="1"/>
  <c r="H1199" i="1"/>
  <c r="I1199" i="1"/>
  <c r="J1199" i="1"/>
  <c r="K1199" i="1"/>
  <c r="A1200" i="1"/>
  <c r="B1200" i="1"/>
  <c r="C1200" i="1"/>
  <c r="D1200" i="1"/>
  <c r="E1200" i="1"/>
  <c r="F1200" i="1"/>
  <c r="G1200" i="1"/>
  <c r="H1200" i="1"/>
  <c r="I1200" i="1"/>
  <c r="J1200" i="1"/>
  <c r="K1200" i="1"/>
  <c r="A1201" i="1"/>
  <c r="B1201" i="1"/>
  <c r="C1201" i="1"/>
  <c r="D1201" i="1"/>
  <c r="E1201" i="1"/>
  <c r="F1201" i="1"/>
  <c r="G1201" i="1"/>
  <c r="H1201" i="1"/>
  <c r="I1201" i="1"/>
  <c r="J1201" i="1"/>
  <c r="K1201" i="1"/>
  <c r="A1202" i="1"/>
  <c r="B1202" i="1"/>
  <c r="C1202" i="1"/>
  <c r="D1202" i="1"/>
  <c r="E1202" i="1"/>
  <c r="F1202" i="1"/>
  <c r="G1202" i="1"/>
  <c r="H1202" i="1"/>
  <c r="I1202" i="1"/>
  <c r="J1202" i="1"/>
  <c r="K1202" i="1"/>
  <c r="A1203" i="1"/>
  <c r="B1203" i="1"/>
  <c r="C1203" i="1"/>
  <c r="D1203" i="1"/>
  <c r="E1203" i="1"/>
  <c r="F1203" i="1"/>
  <c r="G1203" i="1"/>
  <c r="H1203" i="1"/>
  <c r="I1203" i="1"/>
  <c r="J1203" i="1"/>
  <c r="K1203" i="1"/>
  <c r="A1204" i="1"/>
  <c r="B1204" i="1"/>
  <c r="C1204" i="1"/>
  <c r="D1204" i="1"/>
  <c r="E1204" i="1"/>
  <c r="F1204" i="1"/>
  <c r="G1204" i="1"/>
  <c r="H1204" i="1"/>
  <c r="I1204" i="1"/>
  <c r="J1204" i="1"/>
  <c r="K1204" i="1"/>
  <c r="A1205" i="1"/>
  <c r="B1205" i="1"/>
  <c r="C1205" i="1"/>
  <c r="D1205" i="1"/>
  <c r="E1205" i="1"/>
  <c r="F1205" i="1"/>
  <c r="G1205" i="1"/>
  <c r="H1205" i="1"/>
  <c r="I1205" i="1"/>
  <c r="J1205" i="1"/>
  <c r="K1205" i="1"/>
  <c r="A1206" i="1"/>
  <c r="B1206" i="1"/>
  <c r="C1206" i="1"/>
  <c r="D1206" i="1"/>
  <c r="E1206" i="1"/>
  <c r="F1206" i="1"/>
  <c r="G1206" i="1"/>
  <c r="H1206" i="1"/>
  <c r="I1206" i="1"/>
  <c r="J1206" i="1"/>
  <c r="K1206" i="1"/>
  <c r="A1207" i="1"/>
  <c r="B1207" i="1"/>
  <c r="C1207" i="1"/>
  <c r="D1207" i="1"/>
  <c r="E1207" i="1"/>
  <c r="F1207" i="1"/>
  <c r="G1207" i="1"/>
  <c r="H1207" i="1"/>
  <c r="I1207" i="1"/>
  <c r="J1207" i="1"/>
  <c r="K1207" i="1"/>
  <c r="A1208" i="1"/>
  <c r="B1208" i="1"/>
  <c r="C1208" i="1"/>
  <c r="D1208" i="1"/>
  <c r="E1208" i="1"/>
  <c r="F1208" i="1"/>
  <c r="G1208" i="1"/>
  <c r="H1208" i="1"/>
  <c r="I1208" i="1"/>
  <c r="J1208" i="1"/>
  <c r="K1208" i="1"/>
  <c r="A1209" i="1"/>
  <c r="B1209" i="1"/>
  <c r="C1209" i="1"/>
  <c r="D1209" i="1"/>
  <c r="E1209" i="1"/>
  <c r="F1209" i="1"/>
  <c r="G1209" i="1"/>
  <c r="H1209" i="1"/>
  <c r="I1209" i="1"/>
  <c r="J1209" i="1"/>
  <c r="K1209" i="1"/>
  <c r="A1210" i="1"/>
  <c r="B1210" i="1"/>
  <c r="C1210" i="1"/>
  <c r="D1210" i="1"/>
  <c r="E1210" i="1"/>
  <c r="F1210" i="1"/>
  <c r="G1210" i="1"/>
  <c r="H1210" i="1"/>
  <c r="I1210" i="1"/>
  <c r="J1210" i="1"/>
  <c r="K1210" i="1"/>
  <c r="A1211" i="1"/>
  <c r="B1211" i="1"/>
  <c r="C1211" i="1"/>
  <c r="D1211" i="1"/>
  <c r="E1211" i="1"/>
  <c r="F1211" i="1"/>
  <c r="G1211" i="1"/>
  <c r="H1211" i="1"/>
  <c r="I1211" i="1"/>
  <c r="J1211" i="1"/>
  <c r="K1211" i="1"/>
  <c r="A1212" i="1"/>
  <c r="B1212" i="1"/>
  <c r="C1212" i="1"/>
  <c r="D1212" i="1"/>
  <c r="E1212" i="1"/>
  <c r="F1212" i="1"/>
  <c r="G1212" i="1"/>
  <c r="H1212" i="1"/>
  <c r="I1212" i="1"/>
  <c r="J1212" i="1"/>
  <c r="K1212" i="1"/>
  <c r="A1213" i="1"/>
  <c r="B1213" i="1"/>
  <c r="C1213" i="1"/>
  <c r="D1213" i="1"/>
  <c r="E1213" i="1"/>
  <c r="F1213" i="1"/>
  <c r="G1213" i="1"/>
  <c r="H1213" i="1"/>
  <c r="I1213" i="1"/>
  <c r="J1213" i="1"/>
  <c r="K1213" i="1"/>
  <c r="A1214" i="1"/>
  <c r="B1214" i="1"/>
  <c r="C1214" i="1"/>
  <c r="D1214" i="1"/>
  <c r="E1214" i="1"/>
  <c r="F1214" i="1"/>
  <c r="G1214" i="1"/>
  <c r="H1214" i="1"/>
  <c r="I1214" i="1"/>
  <c r="J1214" i="1"/>
  <c r="K1214" i="1"/>
  <c r="A1215" i="1"/>
  <c r="B1215" i="1"/>
  <c r="C1215" i="1"/>
  <c r="D1215" i="1"/>
  <c r="E1215" i="1"/>
  <c r="F1215" i="1"/>
  <c r="G1215" i="1"/>
  <c r="H1215" i="1"/>
  <c r="I1215" i="1"/>
  <c r="J1215" i="1"/>
  <c r="K1215" i="1"/>
  <c r="A1216" i="1"/>
  <c r="B1216" i="1"/>
  <c r="C1216" i="1"/>
  <c r="D1216" i="1"/>
  <c r="E1216" i="1"/>
  <c r="F1216" i="1"/>
  <c r="G1216" i="1"/>
  <c r="H1216" i="1"/>
  <c r="I1216" i="1"/>
  <c r="J1216" i="1"/>
  <c r="K1216" i="1"/>
  <c r="A1217" i="1"/>
  <c r="B1217" i="1"/>
  <c r="C1217" i="1"/>
  <c r="D1217" i="1"/>
  <c r="E1217" i="1"/>
  <c r="F1217" i="1"/>
  <c r="G1217" i="1"/>
  <c r="H1217" i="1"/>
  <c r="I1217" i="1"/>
  <c r="J1217" i="1"/>
  <c r="K1217" i="1"/>
  <c r="A1218" i="1"/>
  <c r="B1218" i="1"/>
  <c r="C1218" i="1"/>
  <c r="D1218" i="1"/>
  <c r="E1218" i="1"/>
  <c r="F1218" i="1"/>
  <c r="G1218" i="1"/>
  <c r="H1218" i="1"/>
  <c r="I1218" i="1"/>
  <c r="J1218" i="1"/>
  <c r="K1218" i="1"/>
  <c r="A1219" i="1"/>
  <c r="B1219" i="1"/>
  <c r="C1219" i="1"/>
  <c r="D1219" i="1"/>
  <c r="E1219" i="1"/>
  <c r="F1219" i="1"/>
  <c r="G1219" i="1"/>
  <c r="H1219" i="1"/>
  <c r="I1219" i="1"/>
  <c r="J1219" i="1"/>
  <c r="K1219" i="1"/>
  <c r="A1220" i="1"/>
  <c r="B1220" i="1"/>
  <c r="C1220" i="1"/>
  <c r="D1220" i="1"/>
  <c r="E1220" i="1"/>
  <c r="F1220" i="1"/>
  <c r="G1220" i="1"/>
  <c r="H1220" i="1"/>
  <c r="I1220" i="1"/>
  <c r="J1220" i="1"/>
  <c r="K1220" i="1"/>
  <c r="A1221" i="1"/>
  <c r="B1221" i="1"/>
  <c r="C1221" i="1"/>
  <c r="D1221" i="1"/>
  <c r="E1221" i="1"/>
  <c r="F1221" i="1"/>
  <c r="G1221" i="1"/>
  <c r="H1221" i="1"/>
  <c r="I1221" i="1"/>
  <c r="J1221" i="1"/>
  <c r="K1221" i="1"/>
  <c r="A1222" i="1"/>
  <c r="B1222" i="1"/>
  <c r="C1222" i="1"/>
  <c r="D1222" i="1"/>
  <c r="E1222" i="1"/>
  <c r="F1222" i="1"/>
  <c r="G1222" i="1"/>
  <c r="H1222" i="1"/>
  <c r="I1222" i="1"/>
  <c r="J1222" i="1"/>
  <c r="K1222" i="1"/>
  <c r="A1223" i="1"/>
  <c r="B1223" i="1"/>
  <c r="C1223" i="1"/>
  <c r="D1223" i="1"/>
  <c r="E1223" i="1"/>
  <c r="F1223" i="1"/>
  <c r="G1223" i="1"/>
  <c r="H1223" i="1"/>
  <c r="I1223" i="1"/>
  <c r="J1223" i="1"/>
  <c r="K1223" i="1"/>
  <c r="A1224" i="1"/>
  <c r="B1224" i="1"/>
  <c r="C1224" i="1"/>
  <c r="D1224" i="1"/>
  <c r="E1224" i="1"/>
  <c r="F1224" i="1"/>
  <c r="G1224" i="1"/>
  <c r="H1224" i="1"/>
  <c r="I1224" i="1"/>
  <c r="J1224" i="1"/>
  <c r="K1224" i="1"/>
  <c r="A1225" i="1"/>
  <c r="B1225" i="1"/>
  <c r="C1225" i="1"/>
  <c r="D1225" i="1"/>
  <c r="E1225" i="1"/>
  <c r="F1225" i="1"/>
  <c r="G1225" i="1"/>
  <c r="H1225" i="1"/>
  <c r="I1225" i="1"/>
  <c r="J1225" i="1"/>
  <c r="K1225" i="1"/>
  <c r="A1226" i="1"/>
  <c r="B1226" i="1"/>
  <c r="C1226" i="1"/>
  <c r="D1226" i="1"/>
  <c r="E1226" i="1"/>
  <c r="F1226" i="1"/>
  <c r="G1226" i="1"/>
  <c r="H1226" i="1"/>
  <c r="I1226" i="1"/>
  <c r="J1226" i="1"/>
  <c r="K1226" i="1"/>
  <c r="A1227" i="1"/>
  <c r="B1227" i="1"/>
  <c r="C1227" i="1"/>
  <c r="D1227" i="1"/>
  <c r="E1227" i="1"/>
  <c r="F1227" i="1"/>
  <c r="G1227" i="1"/>
  <c r="H1227" i="1"/>
  <c r="I1227" i="1"/>
  <c r="J1227" i="1"/>
  <c r="K1227" i="1"/>
  <c r="A1228" i="1"/>
  <c r="B1228" i="1"/>
  <c r="C1228" i="1"/>
  <c r="D1228" i="1"/>
  <c r="E1228" i="1"/>
  <c r="F1228" i="1"/>
  <c r="G1228" i="1"/>
  <c r="H1228" i="1"/>
  <c r="I1228" i="1"/>
  <c r="J1228" i="1"/>
  <c r="K1228" i="1"/>
  <c r="A1229" i="1"/>
  <c r="B1229" i="1"/>
  <c r="C1229" i="1"/>
  <c r="D1229" i="1"/>
  <c r="E1229" i="1"/>
  <c r="F1229" i="1"/>
  <c r="G1229" i="1"/>
  <c r="H1229" i="1"/>
  <c r="I1229" i="1"/>
  <c r="J1229" i="1"/>
  <c r="K1229" i="1"/>
  <c r="A1230" i="1"/>
  <c r="B1230" i="1"/>
  <c r="C1230" i="1"/>
  <c r="D1230" i="1"/>
  <c r="E1230" i="1"/>
  <c r="F1230" i="1"/>
  <c r="G1230" i="1"/>
  <c r="H1230" i="1"/>
  <c r="I1230" i="1"/>
  <c r="J1230" i="1"/>
  <c r="K1230" i="1"/>
  <c r="A1231" i="1"/>
  <c r="B1231" i="1"/>
  <c r="C1231" i="1"/>
  <c r="D1231" i="1"/>
  <c r="E1231" i="1"/>
  <c r="F1231" i="1"/>
  <c r="G1231" i="1"/>
  <c r="H1231" i="1"/>
  <c r="I1231" i="1"/>
  <c r="J1231" i="1"/>
  <c r="K1231" i="1"/>
  <c r="A1232" i="1"/>
  <c r="B1232" i="1"/>
  <c r="C1232" i="1"/>
  <c r="D1232" i="1"/>
  <c r="E1232" i="1"/>
  <c r="F1232" i="1"/>
  <c r="G1232" i="1"/>
  <c r="H1232" i="1"/>
  <c r="I1232" i="1"/>
  <c r="J1232" i="1"/>
  <c r="K1232" i="1"/>
  <c r="A1233" i="1"/>
  <c r="B1233" i="1"/>
  <c r="C1233" i="1"/>
  <c r="D1233" i="1"/>
  <c r="E1233" i="1"/>
  <c r="F1233" i="1"/>
  <c r="G1233" i="1"/>
  <c r="H1233" i="1"/>
  <c r="I1233" i="1"/>
  <c r="J1233" i="1"/>
  <c r="K1233" i="1"/>
  <c r="A1234" i="1"/>
  <c r="B1234" i="1"/>
  <c r="C1234" i="1"/>
  <c r="D1234" i="1"/>
  <c r="E1234" i="1"/>
  <c r="F1234" i="1"/>
  <c r="G1234" i="1"/>
  <c r="H1234" i="1"/>
  <c r="I1234" i="1"/>
  <c r="J1234" i="1"/>
  <c r="K1234" i="1"/>
  <c r="A1235" i="1"/>
  <c r="B1235" i="1"/>
  <c r="C1235" i="1"/>
  <c r="D1235" i="1"/>
  <c r="E1235" i="1"/>
  <c r="F1235" i="1"/>
  <c r="G1235" i="1"/>
  <c r="H1235" i="1"/>
  <c r="I1235" i="1"/>
  <c r="J1235" i="1"/>
  <c r="K1235" i="1"/>
  <c r="A1236" i="1"/>
  <c r="B1236" i="1"/>
  <c r="C1236" i="1"/>
  <c r="D1236" i="1"/>
  <c r="E1236" i="1"/>
  <c r="F1236" i="1"/>
  <c r="G1236" i="1"/>
  <c r="H1236" i="1"/>
  <c r="I1236" i="1"/>
  <c r="J1236" i="1"/>
  <c r="K1236" i="1"/>
  <c r="A1237" i="1"/>
  <c r="B1237" i="1"/>
  <c r="C1237" i="1"/>
  <c r="D1237" i="1"/>
  <c r="E1237" i="1"/>
  <c r="F1237" i="1"/>
  <c r="G1237" i="1"/>
  <c r="H1237" i="1"/>
  <c r="I1237" i="1"/>
  <c r="J1237" i="1"/>
  <c r="K1237" i="1"/>
  <c r="A1238" i="1"/>
  <c r="B1238" i="1"/>
  <c r="C1238" i="1"/>
  <c r="D1238" i="1"/>
  <c r="E1238" i="1"/>
  <c r="F1238" i="1"/>
  <c r="G1238" i="1"/>
  <c r="H1238" i="1"/>
  <c r="I1238" i="1"/>
  <c r="J1238" i="1"/>
  <c r="K1238" i="1"/>
  <c r="A1239" i="1"/>
  <c r="B1239" i="1"/>
  <c r="C1239" i="1"/>
  <c r="D1239" i="1"/>
  <c r="E1239" i="1"/>
  <c r="F1239" i="1"/>
  <c r="G1239" i="1"/>
  <c r="H1239" i="1"/>
  <c r="I1239" i="1"/>
  <c r="J1239" i="1"/>
  <c r="K1239" i="1"/>
  <c r="A1240" i="1"/>
  <c r="B1240" i="1"/>
  <c r="C1240" i="1"/>
  <c r="D1240" i="1"/>
  <c r="E1240" i="1"/>
  <c r="F1240" i="1"/>
  <c r="G1240" i="1"/>
  <c r="H1240" i="1"/>
  <c r="I1240" i="1"/>
  <c r="J1240" i="1"/>
  <c r="K1240" i="1"/>
  <c r="A1241" i="1"/>
  <c r="B1241" i="1"/>
  <c r="C1241" i="1"/>
  <c r="D1241" i="1"/>
  <c r="E1241" i="1"/>
  <c r="F1241" i="1"/>
  <c r="G1241" i="1"/>
  <c r="H1241" i="1"/>
  <c r="I1241" i="1"/>
  <c r="J1241" i="1"/>
  <c r="K1241" i="1"/>
  <c r="A1242" i="1"/>
  <c r="B1242" i="1"/>
  <c r="C1242" i="1"/>
  <c r="D1242" i="1"/>
  <c r="E1242" i="1"/>
  <c r="F1242" i="1"/>
  <c r="G1242" i="1"/>
  <c r="H1242" i="1"/>
  <c r="I1242" i="1"/>
  <c r="J1242" i="1"/>
  <c r="K1242" i="1"/>
  <c r="A1243" i="1"/>
  <c r="B1243" i="1"/>
  <c r="C1243" i="1"/>
  <c r="D1243" i="1"/>
  <c r="E1243" i="1"/>
  <c r="F1243" i="1"/>
  <c r="G1243" i="1"/>
  <c r="H1243" i="1"/>
  <c r="I1243" i="1"/>
  <c r="J1243" i="1"/>
  <c r="K1243" i="1"/>
  <c r="A1244" i="1"/>
  <c r="B1244" i="1"/>
  <c r="C1244" i="1"/>
  <c r="D1244" i="1"/>
  <c r="E1244" i="1"/>
  <c r="F1244" i="1"/>
  <c r="G1244" i="1"/>
  <c r="H1244" i="1"/>
  <c r="I1244" i="1"/>
  <c r="J1244" i="1"/>
  <c r="K1244" i="1"/>
  <c r="A1245" i="1"/>
  <c r="B1245" i="1"/>
  <c r="C1245" i="1"/>
  <c r="D1245" i="1"/>
  <c r="E1245" i="1"/>
  <c r="F1245" i="1"/>
  <c r="G1245" i="1"/>
  <c r="H1245" i="1"/>
  <c r="I1245" i="1"/>
  <c r="J1245" i="1"/>
  <c r="K1245" i="1"/>
  <c r="A1246" i="1"/>
  <c r="B1246" i="1"/>
  <c r="C1246" i="1"/>
  <c r="D1246" i="1"/>
  <c r="E1246" i="1"/>
  <c r="F1246" i="1"/>
  <c r="G1246" i="1"/>
  <c r="H1246" i="1"/>
  <c r="I1246" i="1"/>
  <c r="J1246" i="1"/>
  <c r="K1246" i="1"/>
  <c r="A1247" i="1"/>
  <c r="B1247" i="1"/>
  <c r="C1247" i="1"/>
  <c r="D1247" i="1"/>
  <c r="E1247" i="1"/>
  <c r="F1247" i="1"/>
  <c r="G1247" i="1"/>
  <c r="H1247" i="1"/>
  <c r="I1247" i="1"/>
  <c r="J1247" i="1"/>
  <c r="K1247" i="1"/>
  <c r="A1248" i="1"/>
  <c r="B1248" i="1"/>
  <c r="C1248" i="1"/>
  <c r="D1248" i="1"/>
  <c r="E1248" i="1"/>
  <c r="F1248" i="1"/>
  <c r="G1248" i="1"/>
  <c r="H1248" i="1"/>
  <c r="I1248" i="1"/>
  <c r="J1248" i="1"/>
  <c r="K1248" i="1"/>
  <c r="A1249" i="1"/>
  <c r="B1249" i="1"/>
  <c r="C1249" i="1"/>
  <c r="D1249" i="1"/>
  <c r="E1249" i="1"/>
  <c r="F1249" i="1"/>
  <c r="G1249" i="1"/>
  <c r="H1249" i="1"/>
  <c r="I1249" i="1"/>
  <c r="J1249" i="1"/>
  <c r="K1249" i="1"/>
  <c r="A1250" i="1"/>
  <c r="B1250" i="1"/>
  <c r="C1250" i="1"/>
  <c r="D1250" i="1"/>
  <c r="E1250" i="1"/>
  <c r="F1250" i="1"/>
  <c r="G1250" i="1"/>
  <c r="H1250" i="1"/>
  <c r="I1250" i="1"/>
  <c r="J1250" i="1"/>
  <c r="K1250" i="1"/>
  <c r="A1251" i="1"/>
  <c r="B1251" i="1"/>
  <c r="C1251" i="1"/>
  <c r="D1251" i="1"/>
  <c r="E1251" i="1"/>
  <c r="F1251" i="1"/>
  <c r="G1251" i="1"/>
  <c r="H1251" i="1"/>
  <c r="I1251" i="1"/>
  <c r="J1251" i="1"/>
  <c r="K1251" i="1"/>
  <c r="A1252" i="1"/>
  <c r="B1252" i="1"/>
  <c r="C1252" i="1"/>
  <c r="D1252" i="1"/>
  <c r="E1252" i="1"/>
  <c r="F1252" i="1"/>
  <c r="G1252" i="1"/>
  <c r="H1252" i="1"/>
  <c r="I1252" i="1"/>
  <c r="J1252" i="1"/>
  <c r="K1252" i="1"/>
  <c r="A1253" i="1"/>
  <c r="B1253" i="1"/>
  <c r="C1253" i="1"/>
  <c r="D1253" i="1"/>
  <c r="E1253" i="1"/>
  <c r="F1253" i="1"/>
  <c r="G1253" i="1"/>
  <c r="H1253" i="1"/>
  <c r="I1253" i="1"/>
  <c r="J1253" i="1"/>
  <c r="K1253" i="1"/>
  <c r="A1254" i="1"/>
  <c r="B1254" i="1"/>
  <c r="C1254" i="1"/>
  <c r="D1254" i="1"/>
  <c r="E1254" i="1"/>
  <c r="F1254" i="1"/>
  <c r="G1254" i="1"/>
  <c r="H1254" i="1"/>
  <c r="I1254" i="1"/>
  <c r="J1254" i="1"/>
  <c r="K1254" i="1"/>
  <c r="A1255" i="1"/>
  <c r="B1255" i="1"/>
  <c r="C1255" i="1"/>
  <c r="D1255" i="1"/>
  <c r="E1255" i="1"/>
  <c r="F1255" i="1"/>
  <c r="G1255" i="1"/>
  <c r="H1255" i="1"/>
  <c r="I1255" i="1"/>
  <c r="J1255" i="1"/>
  <c r="K1255" i="1"/>
  <c r="A1256" i="1"/>
  <c r="B1256" i="1"/>
  <c r="C1256" i="1"/>
  <c r="D1256" i="1"/>
  <c r="E1256" i="1"/>
  <c r="F1256" i="1"/>
  <c r="G1256" i="1"/>
  <c r="H1256" i="1"/>
  <c r="I1256" i="1"/>
  <c r="J1256" i="1"/>
  <c r="K1256" i="1"/>
  <c r="A1257" i="1"/>
  <c r="B1257" i="1"/>
  <c r="C1257" i="1"/>
  <c r="D1257" i="1"/>
  <c r="E1257" i="1"/>
  <c r="F1257" i="1"/>
  <c r="G1257" i="1"/>
  <c r="H1257" i="1"/>
  <c r="I1257" i="1"/>
  <c r="J1257" i="1"/>
  <c r="K1257" i="1"/>
  <c r="A1258" i="1"/>
  <c r="B1258" i="1"/>
  <c r="C1258" i="1"/>
  <c r="D1258" i="1"/>
  <c r="E1258" i="1"/>
  <c r="F1258" i="1"/>
  <c r="G1258" i="1"/>
  <c r="H1258" i="1"/>
  <c r="I1258" i="1"/>
  <c r="J1258" i="1"/>
  <c r="K1258" i="1"/>
  <c r="A1259" i="1"/>
  <c r="B1259" i="1"/>
  <c r="C1259" i="1"/>
  <c r="D1259" i="1"/>
  <c r="E1259" i="1"/>
  <c r="F1259" i="1"/>
  <c r="G1259" i="1"/>
  <c r="H1259" i="1"/>
  <c r="I1259" i="1"/>
  <c r="J1259" i="1"/>
  <c r="K1259" i="1"/>
  <c r="A1260" i="1"/>
  <c r="B1260" i="1"/>
  <c r="C1260" i="1"/>
  <c r="D1260" i="1"/>
  <c r="E1260" i="1"/>
  <c r="F1260" i="1"/>
  <c r="G1260" i="1"/>
  <c r="H1260" i="1"/>
  <c r="I1260" i="1"/>
  <c r="J1260" i="1"/>
  <c r="K1260" i="1"/>
  <c r="A1261" i="1"/>
  <c r="B1261" i="1"/>
  <c r="C1261" i="1"/>
  <c r="D1261" i="1"/>
  <c r="E1261" i="1"/>
  <c r="F1261" i="1"/>
  <c r="G1261" i="1"/>
  <c r="H1261" i="1"/>
  <c r="I1261" i="1"/>
  <c r="J1261" i="1"/>
  <c r="K1261" i="1"/>
  <c r="A1262" i="1"/>
  <c r="B1262" i="1"/>
  <c r="C1262" i="1"/>
  <c r="D1262" i="1"/>
  <c r="E1262" i="1"/>
  <c r="F1262" i="1"/>
  <c r="G1262" i="1"/>
  <c r="H1262" i="1"/>
  <c r="I1262" i="1"/>
  <c r="J1262" i="1"/>
  <c r="K1262" i="1"/>
  <c r="A1263" i="1"/>
  <c r="B1263" i="1"/>
  <c r="C1263" i="1"/>
  <c r="D1263" i="1"/>
  <c r="E1263" i="1"/>
  <c r="F1263" i="1"/>
  <c r="G1263" i="1"/>
  <c r="H1263" i="1"/>
  <c r="I1263" i="1"/>
  <c r="J1263" i="1"/>
  <c r="K1263" i="1"/>
  <c r="A1264" i="1"/>
  <c r="B1264" i="1"/>
  <c r="C1264" i="1"/>
  <c r="D1264" i="1"/>
  <c r="E1264" i="1"/>
  <c r="F1264" i="1"/>
  <c r="G1264" i="1"/>
  <c r="H1264" i="1"/>
  <c r="I1264" i="1"/>
  <c r="J1264" i="1"/>
  <c r="K1264" i="1"/>
  <c r="A1265" i="1"/>
  <c r="B1265" i="1"/>
  <c r="C1265" i="1"/>
  <c r="D1265" i="1"/>
  <c r="E1265" i="1"/>
  <c r="F1265" i="1"/>
  <c r="G1265" i="1"/>
  <c r="H1265" i="1"/>
  <c r="I1265" i="1"/>
  <c r="J1265" i="1"/>
  <c r="K1265" i="1"/>
  <c r="A1266" i="1"/>
  <c r="B1266" i="1"/>
  <c r="C1266" i="1"/>
  <c r="D1266" i="1"/>
  <c r="E1266" i="1"/>
  <c r="F1266" i="1"/>
  <c r="G1266" i="1"/>
  <c r="H1266" i="1"/>
  <c r="I1266" i="1"/>
  <c r="J1266" i="1"/>
  <c r="K1266" i="1"/>
  <c r="A1267" i="1"/>
  <c r="B1267" i="1"/>
  <c r="C1267" i="1"/>
  <c r="D1267" i="1"/>
  <c r="E1267" i="1"/>
  <c r="F1267" i="1"/>
  <c r="G1267" i="1"/>
  <c r="H1267" i="1"/>
  <c r="I1267" i="1"/>
  <c r="J1267" i="1"/>
  <c r="K1267" i="1"/>
  <c r="A1268" i="1"/>
  <c r="B1268" i="1"/>
  <c r="C1268" i="1"/>
  <c r="D1268" i="1"/>
  <c r="E1268" i="1"/>
  <c r="F1268" i="1"/>
  <c r="G1268" i="1"/>
  <c r="H1268" i="1"/>
  <c r="I1268" i="1"/>
  <c r="J1268" i="1"/>
  <c r="K1268" i="1"/>
  <c r="A1269" i="1"/>
  <c r="B1269" i="1"/>
  <c r="C1269" i="1"/>
  <c r="D1269" i="1"/>
  <c r="E1269" i="1"/>
  <c r="F1269" i="1"/>
  <c r="G1269" i="1"/>
  <c r="H1269" i="1"/>
  <c r="I1269" i="1"/>
  <c r="J1269" i="1"/>
  <c r="K1269" i="1"/>
  <c r="A1270" i="1"/>
  <c r="B1270" i="1"/>
  <c r="C1270" i="1"/>
  <c r="D1270" i="1"/>
  <c r="E1270" i="1"/>
  <c r="F1270" i="1"/>
  <c r="G1270" i="1"/>
  <c r="H1270" i="1"/>
  <c r="I1270" i="1"/>
  <c r="J1270" i="1"/>
  <c r="K1270" i="1"/>
  <c r="A1271" i="1"/>
  <c r="B1271" i="1"/>
  <c r="C1271" i="1"/>
  <c r="D1271" i="1"/>
  <c r="E1271" i="1"/>
  <c r="F1271" i="1"/>
  <c r="G1271" i="1"/>
  <c r="H1271" i="1"/>
  <c r="I1271" i="1"/>
  <c r="J1271" i="1"/>
  <c r="K1271" i="1"/>
  <c r="A1272" i="1"/>
  <c r="B1272" i="1"/>
  <c r="C1272" i="1"/>
  <c r="D1272" i="1"/>
  <c r="E1272" i="1"/>
  <c r="F1272" i="1"/>
  <c r="G1272" i="1"/>
  <c r="H1272" i="1"/>
  <c r="I1272" i="1"/>
  <c r="J1272" i="1"/>
  <c r="K1272" i="1"/>
  <c r="A1273" i="1"/>
  <c r="B1273" i="1"/>
  <c r="C1273" i="1"/>
  <c r="D1273" i="1"/>
  <c r="E1273" i="1"/>
  <c r="F1273" i="1"/>
  <c r="G1273" i="1"/>
  <c r="H1273" i="1"/>
  <c r="I1273" i="1"/>
  <c r="J1273" i="1"/>
  <c r="K1273" i="1"/>
  <c r="A1274" i="1"/>
  <c r="B1274" i="1"/>
  <c r="C1274" i="1"/>
  <c r="D1274" i="1"/>
  <c r="E1274" i="1"/>
  <c r="F1274" i="1"/>
  <c r="G1274" i="1"/>
  <c r="H1274" i="1"/>
  <c r="I1274" i="1"/>
  <c r="J1274" i="1"/>
  <c r="K1274" i="1"/>
  <c r="A1275" i="1"/>
  <c r="B1275" i="1"/>
  <c r="C1275" i="1"/>
  <c r="D1275" i="1"/>
  <c r="E1275" i="1"/>
  <c r="F1275" i="1"/>
  <c r="G1275" i="1"/>
  <c r="H1275" i="1"/>
  <c r="I1275" i="1"/>
  <c r="J1275" i="1"/>
  <c r="K1275" i="1"/>
  <c r="A1276" i="1"/>
  <c r="B1276" i="1"/>
  <c r="C1276" i="1"/>
  <c r="D1276" i="1"/>
  <c r="E1276" i="1"/>
  <c r="F1276" i="1"/>
  <c r="G1276" i="1"/>
  <c r="H1276" i="1"/>
  <c r="I1276" i="1"/>
  <c r="J1276" i="1"/>
  <c r="K1276" i="1"/>
  <c r="A1277" i="1"/>
  <c r="B1277" i="1"/>
  <c r="C1277" i="1"/>
  <c r="D1277" i="1"/>
  <c r="E1277" i="1"/>
  <c r="F1277" i="1"/>
  <c r="G1277" i="1"/>
  <c r="H1277" i="1"/>
  <c r="I1277" i="1"/>
  <c r="J1277" i="1"/>
  <c r="K1277" i="1"/>
  <c r="A1278" i="1"/>
  <c r="B1278" i="1"/>
  <c r="C1278" i="1"/>
  <c r="D1278" i="1"/>
  <c r="E1278" i="1"/>
  <c r="F1278" i="1"/>
  <c r="G1278" i="1"/>
  <c r="H1278" i="1"/>
  <c r="I1278" i="1"/>
  <c r="J1278" i="1"/>
  <c r="K1278" i="1"/>
  <c r="A1279" i="1"/>
  <c r="B1279" i="1"/>
  <c r="C1279" i="1"/>
  <c r="D1279" i="1"/>
  <c r="E1279" i="1"/>
  <c r="F1279" i="1"/>
  <c r="G1279" i="1"/>
  <c r="H1279" i="1"/>
  <c r="I1279" i="1"/>
  <c r="J1279" i="1"/>
  <c r="K1279" i="1"/>
  <c r="A1280" i="1"/>
  <c r="B1280" i="1"/>
  <c r="C1280" i="1"/>
  <c r="D1280" i="1"/>
  <c r="E1280" i="1"/>
  <c r="F1280" i="1"/>
  <c r="G1280" i="1"/>
  <c r="H1280" i="1"/>
  <c r="I1280" i="1"/>
  <c r="J1280" i="1"/>
  <c r="K1280" i="1"/>
  <c r="A1281" i="1"/>
  <c r="B1281" i="1"/>
  <c r="C1281" i="1"/>
  <c r="D1281" i="1"/>
  <c r="E1281" i="1"/>
  <c r="F1281" i="1"/>
  <c r="G1281" i="1"/>
  <c r="H1281" i="1"/>
  <c r="I1281" i="1"/>
  <c r="J1281" i="1"/>
  <c r="K1281" i="1"/>
  <c r="A1282" i="1"/>
  <c r="B1282" i="1"/>
  <c r="C1282" i="1"/>
  <c r="D1282" i="1"/>
  <c r="E1282" i="1"/>
  <c r="F1282" i="1"/>
  <c r="G1282" i="1"/>
  <c r="H1282" i="1"/>
  <c r="I1282" i="1"/>
  <c r="J1282" i="1"/>
  <c r="K1282" i="1"/>
  <c r="A1283" i="1"/>
  <c r="B1283" i="1"/>
  <c r="C1283" i="1"/>
  <c r="D1283" i="1"/>
  <c r="E1283" i="1"/>
  <c r="F1283" i="1"/>
  <c r="G1283" i="1"/>
  <c r="H1283" i="1"/>
  <c r="I1283" i="1"/>
  <c r="J1283" i="1"/>
  <c r="K1283" i="1"/>
  <c r="A1284" i="1"/>
  <c r="B1284" i="1"/>
  <c r="C1284" i="1"/>
  <c r="D1284" i="1"/>
  <c r="E1284" i="1"/>
  <c r="F1284" i="1"/>
  <c r="G1284" i="1"/>
  <c r="H1284" i="1"/>
  <c r="I1284" i="1"/>
  <c r="J1284" i="1"/>
  <c r="K1284" i="1"/>
  <c r="A1285" i="1"/>
  <c r="B1285" i="1"/>
  <c r="C1285" i="1"/>
  <c r="D1285" i="1"/>
  <c r="E1285" i="1"/>
  <c r="F1285" i="1"/>
  <c r="G1285" i="1"/>
  <c r="H1285" i="1"/>
  <c r="I1285" i="1"/>
  <c r="J1285" i="1"/>
  <c r="K1285" i="1"/>
  <c r="A1286" i="1"/>
  <c r="B1286" i="1"/>
  <c r="C1286" i="1"/>
  <c r="D1286" i="1"/>
  <c r="E1286" i="1"/>
  <c r="F1286" i="1"/>
  <c r="G1286" i="1"/>
  <c r="H1286" i="1"/>
  <c r="I1286" i="1"/>
  <c r="J1286" i="1"/>
  <c r="K1286" i="1"/>
  <c r="A1287" i="1"/>
  <c r="B1287" i="1"/>
  <c r="C1287" i="1"/>
  <c r="D1287" i="1"/>
  <c r="E1287" i="1"/>
  <c r="F1287" i="1"/>
  <c r="G1287" i="1"/>
  <c r="H1287" i="1"/>
  <c r="I1287" i="1"/>
  <c r="J1287" i="1"/>
  <c r="K1287" i="1"/>
  <c r="A1288" i="1"/>
  <c r="B1288" i="1"/>
  <c r="C1288" i="1"/>
  <c r="D1288" i="1"/>
  <c r="E1288" i="1"/>
  <c r="F1288" i="1"/>
  <c r="G1288" i="1"/>
  <c r="H1288" i="1"/>
  <c r="I1288" i="1"/>
  <c r="J1288" i="1"/>
  <c r="K1288" i="1"/>
  <c r="A1289" i="1"/>
  <c r="B1289" i="1"/>
  <c r="C1289" i="1"/>
  <c r="D1289" i="1"/>
  <c r="E1289" i="1"/>
  <c r="F1289" i="1"/>
  <c r="G1289" i="1"/>
  <c r="H1289" i="1"/>
  <c r="I1289" i="1"/>
  <c r="J1289" i="1"/>
  <c r="K1289" i="1"/>
  <c r="A1290" i="1"/>
  <c r="B1290" i="1"/>
  <c r="C1290" i="1"/>
  <c r="D1290" i="1"/>
  <c r="E1290" i="1"/>
  <c r="F1290" i="1"/>
  <c r="G1290" i="1"/>
  <c r="H1290" i="1"/>
  <c r="I1290" i="1"/>
  <c r="J1290" i="1"/>
  <c r="K1290" i="1"/>
  <c r="A1291" i="1"/>
  <c r="B1291" i="1"/>
  <c r="C1291" i="1"/>
  <c r="D1291" i="1"/>
  <c r="E1291" i="1"/>
  <c r="F1291" i="1"/>
  <c r="G1291" i="1"/>
  <c r="H1291" i="1"/>
  <c r="I1291" i="1"/>
  <c r="J1291" i="1"/>
  <c r="K1291" i="1"/>
  <c r="A1292" i="1"/>
  <c r="B1292" i="1"/>
  <c r="C1292" i="1"/>
  <c r="D1292" i="1"/>
  <c r="E1292" i="1"/>
  <c r="F1292" i="1"/>
  <c r="G1292" i="1"/>
  <c r="H1292" i="1"/>
  <c r="I1292" i="1"/>
  <c r="J1292" i="1"/>
  <c r="K1292" i="1"/>
  <c r="A1293" i="1"/>
  <c r="B1293" i="1"/>
  <c r="C1293" i="1"/>
  <c r="D1293" i="1"/>
  <c r="E1293" i="1"/>
  <c r="F1293" i="1"/>
  <c r="G1293" i="1"/>
  <c r="H1293" i="1"/>
  <c r="I1293" i="1"/>
  <c r="J1293" i="1"/>
  <c r="K1293" i="1"/>
  <c r="A1294" i="1"/>
  <c r="B1294" i="1"/>
  <c r="C1294" i="1"/>
  <c r="D1294" i="1"/>
  <c r="E1294" i="1"/>
  <c r="F1294" i="1"/>
  <c r="G1294" i="1"/>
  <c r="H1294" i="1"/>
  <c r="I1294" i="1"/>
  <c r="J1294" i="1"/>
  <c r="K1294" i="1"/>
  <c r="A1295" i="1"/>
  <c r="B1295" i="1"/>
  <c r="C1295" i="1"/>
  <c r="D1295" i="1"/>
  <c r="E1295" i="1"/>
  <c r="F1295" i="1"/>
  <c r="G1295" i="1"/>
  <c r="H1295" i="1"/>
  <c r="I1295" i="1"/>
  <c r="J1295" i="1"/>
  <c r="K1295" i="1"/>
  <c r="A1296" i="1"/>
  <c r="B1296" i="1"/>
  <c r="C1296" i="1"/>
  <c r="D1296" i="1"/>
  <c r="E1296" i="1"/>
  <c r="F1296" i="1"/>
  <c r="G1296" i="1"/>
  <c r="H1296" i="1"/>
  <c r="I1296" i="1"/>
  <c r="J1296" i="1"/>
  <c r="K1296" i="1"/>
  <c r="A1297" i="1"/>
  <c r="B1297" i="1"/>
  <c r="C1297" i="1"/>
  <c r="D1297" i="1"/>
  <c r="E1297" i="1"/>
  <c r="F1297" i="1"/>
  <c r="G1297" i="1"/>
  <c r="H1297" i="1"/>
  <c r="I1297" i="1"/>
  <c r="J1297" i="1"/>
  <c r="K1297" i="1"/>
  <c r="A1298" i="1"/>
  <c r="B1298" i="1"/>
  <c r="C1298" i="1"/>
  <c r="D1298" i="1"/>
  <c r="E1298" i="1"/>
  <c r="F1298" i="1"/>
  <c r="G1298" i="1"/>
  <c r="H1298" i="1"/>
  <c r="I1298" i="1"/>
  <c r="J1298" i="1"/>
  <c r="K1298" i="1"/>
  <c r="A1299" i="1"/>
  <c r="B1299" i="1"/>
  <c r="C1299" i="1"/>
  <c r="D1299" i="1"/>
  <c r="E1299" i="1"/>
  <c r="F1299" i="1"/>
  <c r="G1299" i="1"/>
  <c r="H1299" i="1"/>
  <c r="I1299" i="1"/>
  <c r="J1299" i="1"/>
  <c r="K1299" i="1"/>
  <c r="A1300" i="1"/>
  <c r="B1300" i="1"/>
  <c r="C1300" i="1"/>
  <c r="D1300" i="1"/>
  <c r="E1300" i="1"/>
  <c r="F1300" i="1"/>
  <c r="G1300" i="1"/>
  <c r="H1300" i="1"/>
  <c r="I1300" i="1"/>
  <c r="J1300" i="1"/>
  <c r="K1300" i="1"/>
  <c r="A1301" i="1"/>
  <c r="B1301" i="1"/>
  <c r="C1301" i="1"/>
  <c r="D1301" i="1"/>
  <c r="E1301" i="1"/>
  <c r="F1301" i="1"/>
  <c r="G1301" i="1"/>
  <c r="H1301" i="1"/>
  <c r="I1301" i="1"/>
  <c r="J1301" i="1"/>
  <c r="K1301" i="1"/>
  <c r="A1302" i="1"/>
  <c r="B1302" i="1"/>
  <c r="C1302" i="1"/>
  <c r="D1302" i="1"/>
  <c r="E1302" i="1"/>
  <c r="F1302" i="1"/>
  <c r="G1302" i="1"/>
  <c r="H1302" i="1"/>
  <c r="I1302" i="1"/>
  <c r="J1302" i="1"/>
  <c r="K1302" i="1"/>
  <c r="A1303" i="1"/>
  <c r="B1303" i="1"/>
  <c r="C1303" i="1"/>
  <c r="D1303" i="1"/>
  <c r="E1303" i="1"/>
  <c r="F1303" i="1"/>
  <c r="G1303" i="1"/>
  <c r="H1303" i="1"/>
  <c r="I1303" i="1"/>
  <c r="J1303" i="1"/>
  <c r="K1303" i="1"/>
  <c r="A1304" i="1"/>
  <c r="B1304" i="1"/>
  <c r="C1304" i="1"/>
  <c r="D1304" i="1"/>
  <c r="E1304" i="1"/>
  <c r="F1304" i="1"/>
  <c r="G1304" i="1"/>
  <c r="H1304" i="1"/>
  <c r="I1304" i="1"/>
  <c r="J1304" i="1"/>
  <c r="K1304" i="1"/>
  <c r="A1305" i="1"/>
  <c r="B1305" i="1"/>
  <c r="C1305" i="1"/>
  <c r="D1305" i="1"/>
  <c r="E1305" i="1"/>
  <c r="F1305" i="1"/>
  <c r="G1305" i="1"/>
  <c r="H1305" i="1"/>
  <c r="I1305" i="1"/>
  <c r="J1305" i="1"/>
  <c r="K1305" i="1"/>
  <c r="A1306" i="1"/>
  <c r="B1306" i="1"/>
  <c r="C1306" i="1"/>
  <c r="D1306" i="1"/>
  <c r="E1306" i="1"/>
  <c r="F1306" i="1"/>
  <c r="G1306" i="1"/>
  <c r="H1306" i="1"/>
  <c r="I1306" i="1"/>
  <c r="J1306" i="1"/>
  <c r="K1306" i="1"/>
  <c r="A1307" i="1"/>
  <c r="B1307" i="1"/>
  <c r="C1307" i="1"/>
  <c r="D1307" i="1"/>
  <c r="E1307" i="1"/>
  <c r="F1307" i="1"/>
  <c r="G1307" i="1"/>
  <c r="H1307" i="1"/>
  <c r="I1307" i="1"/>
  <c r="J1307" i="1"/>
  <c r="K1307" i="1"/>
  <c r="A1308" i="1"/>
  <c r="B1308" i="1"/>
  <c r="C1308" i="1"/>
  <c r="D1308" i="1"/>
  <c r="E1308" i="1"/>
  <c r="F1308" i="1"/>
  <c r="G1308" i="1"/>
  <c r="H1308" i="1"/>
  <c r="I1308" i="1"/>
  <c r="J1308" i="1"/>
  <c r="K1308" i="1"/>
  <c r="A1309" i="1"/>
  <c r="B1309" i="1"/>
  <c r="C1309" i="1"/>
  <c r="D1309" i="1"/>
  <c r="E1309" i="1"/>
  <c r="F1309" i="1"/>
  <c r="G1309" i="1"/>
  <c r="H1309" i="1"/>
  <c r="I1309" i="1"/>
  <c r="J1309" i="1"/>
  <c r="K1309" i="1"/>
  <c r="A1310" i="1"/>
  <c r="B1310" i="1"/>
  <c r="C1310" i="1"/>
  <c r="D1310" i="1"/>
  <c r="E1310" i="1"/>
  <c r="F1310" i="1"/>
  <c r="G1310" i="1"/>
  <c r="H1310" i="1"/>
  <c r="I1310" i="1"/>
  <c r="J1310" i="1"/>
  <c r="K1310" i="1"/>
  <c r="A1311" i="1"/>
  <c r="B1311" i="1"/>
  <c r="C1311" i="1"/>
  <c r="D1311" i="1"/>
  <c r="E1311" i="1"/>
  <c r="F1311" i="1"/>
  <c r="G1311" i="1"/>
  <c r="H1311" i="1"/>
  <c r="I1311" i="1"/>
  <c r="J1311" i="1"/>
  <c r="K1311" i="1"/>
  <c r="A1312" i="1"/>
  <c r="B1312" i="1"/>
  <c r="C1312" i="1"/>
  <c r="D1312" i="1"/>
  <c r="E1312" i="1"/>
  <c r="F1312" i="1"/>
  <c r="G1312" i="1"/>
  <c r="H1312" i="1"/>
  <c r="I1312" i="1"/>
  <c r="J1312" i="1"/>
  <c r="K1312" i="1"/>
  <c r="A1313" i="1"/>
  <c r="B1313" i="1"/>
  <c r="C1313" i="1"/>
  <c r="D1313" i="1"/>
  <c r="E1313" i="1"/>
  <c r="F1313" i="1"/>
  <c r="G1313" i="1"/>
  <c r="H1313" i="1"/>
  <c r="I1313" i="1"/>
  <c r="J1313" i="1"/>
  <c r="K1313" i="1"/>
  <c r="A1314" i="1"/>
  <c r="B1314" i="1"/>
  <c r="C1314" i="1"/>
  <c r="D1314" i="1"/>
  <c r="E1314" i="1"/>
  <c r="F1314" i="1"/>
  <c r="G1314" i="1"/>
  <c r="H1314" i="1"/>
  <c r="I1314" i="1"/>
  <c r="J1314" i="1"/>
  <c r="K1314" i="1"/>
  <c r="A1315" i="1"/>
  <c r="B1315" i="1"/>
  <c r="C1315" i="1"/>
  <c r="D1315" i="1"/>
  <c r="E1315" i="1"/>
  <c r="F1315" i="1"/>
  <c r="G1315" i="1"/>
  <c r="H1315" i="1"/>
  <c r="I1315" i="1"/>
  <c r="J1315" i="1"/>
  <c r="K1315" i="1"/>
  <c r="A1316" i="1"/>
  <c r="B1316" i="1"/>
  <c r="C1316" i="1"/>
  <c r="D1316" i="1"/>
  <c r="E1316" i="1"/>
  <c r="F1316" i="1"/>
  <c r="G1316" i="1"/>
  <c r="H1316" i="1"/>
  <c r="I1316" i="1"/>
  <c r="J1316" i="1"/>
  <c r="K1316" i="1"/>
  <c r="A1317" i="1"/>
  <c r="B1317" i="1"/>
  <c r="C1317" i="1"/>
  <c r="D1317" i="1"/>
  <c r="E1317" i="1"/>
  <c r="F1317" i="1"/>
  <c r="G1317" i="1"/>
  <c r="H1317" i="1"/>
  <c r="I1317" i="1"/>
  <c r="J1317" i="1"/>
  <c r="K1317" i="1"/>
  <c r="A1318" i="1"/>
  <c r="B1318" i="1"/>
  <c r="C1318" i="1"/>
  <c r="D1318" i="1"/>
  <c r="E1318" i="1"/>
  <c r="F1318" i="1"/>
  <c r="G1318" i="1"/>
  <c r="H1318" i="1"/>
  <c r="I1318" i="1"/>
  <c r="J1318" i="1"/>
  <c r="K1318" i="1"/>
  <c r="A1319" i="1"/>
  <c r="B1319" i="1"/>
  <c r="C1319" i="1"/>
  <c r="D1319" i="1"/>
  <c r="E1319" i="1"/>
  <c r="F1319" i="1"/>
  <c r="G1319" i="1"/>
  <c r="H1319" i="1"/>
  <c r="I1319" i="1"/>
  <c r="J1319" i="1"/>
  <c r="K1319" i="1"/>
  <c r="A1320" i="1"/>
  <c r="B1320" i="1"/>
  <c r="C1320" i="1"/>
  <c r="D1320" i="1"/>
  <c r="E1320" i="1"/>
  <c r="F1320" i="1"/>
  <c r="G1320" i="1"/>
  <c r="H1320" i="1"/>
  <c r="I1320" i="1"/>
  <c r="J1320" i="1"/>
  <c r="K1320" i="1"/>
  <c r="A1321" i="1"/>
  <c r="B1321" i="1"/>
  <c r="C1321" i="1"/>
  <c r="D1321" i="1"/>
  <c r="E1321" i="1"/>
  <c r="F1321" i="1"/>
  <c r="G1321" i="1"/>
  <c r="H1321" i="1"/>
  <c r="I1321" i="1"/>
  <c r="J1321" i="1"/>
  <c r="K1321" i="1"/>
  <c r="A1322" i="1"/>
  <c r="B1322" i="1"/>
  <c r="C1322" i="1"/>
  <c r="D1322" i="1"/>
  <c r="E1322" i="1"/>
  <c r="F1322" i="1"/>
  <c r="G1322" i="1"/>
  <c r="H1322" i="1"/>
  <c r="I1322" i="1"/>
  <c r="J1322" i="1"/>
  <c r="K1322" i="1"/>
  <c r="A1323" i="1"/>
  <c r="B1323" i="1"/>
  <c r="C1323" i="1"/>
  <c r="D1323" i="1"/>
  <c r="E1323" i="1"/>
  <c r="F1323" i="1"/>
  <c r="G1323" i="1"/>
  <c r="H1323" i="1"/>
  <c r="I1323" i="1"/>
  <c r="J1323" i="1"/>
  <c r="K1323" i="1"/>
  <c r="A1324" i="1"/>
  <c r="B1324" i="1"/>
  <c r="C1324" i="1"/>
  <c r="D1324" i="1"/>
  <c r="E1324" i="1"/>
  <c r="F1324" i="1"/>
  <c r="G1324" i="1"/>
  <c r="H1324" i="1"/>
  <c r="I1324" i="1"/>
  <c r="J1324" i="1"/>
  <c r="K1324" i="1"/>
  <c r="A1325" i="1"/>
  <c r="B1325" i="1"/>
  <c r="C1325" i="1"/>
  <c r="D1325" i="1"/>
  <c r="E1325" i="1"/>
  <c r="F1325" i="1"/>
  <c r="G1325" i="1"/>
  <c r="H1325" i="1"/>
  <c r="I1325" i="1"/>
  <c r="J1325" i="1"/>
  <c r="K1325" i="1"/>
  <c r="A1326" i="1"/>
  <c r="B1326" i="1"/>
  <c r="C1326" i="1"/>
  <c r="D1326" i="1"/>
  <c r="E1326" i="1"/>
  <c r="F1326" i="1"/>
  <c r="G1326" i="1"/>
  <c r="H1326" i="1"/>
  <c r="I1326" i="1"/>
  <c r="J1326" i="1"/>
  <c r="K1326" i="1"/>
  <c r="A1327" i="1"/>
  <c r="B1327" i="1"/>
  <c r="C1327" i="1"/>
  <c r="D1327" i="1"/>
  <c r="E1327" i="1"/>
  <c r="F1327" i="1"/>
  <c r="G1327" i="1"/>
  <c r="H1327" i="1"/>
  <c r="I1327" i="1"/>
  <c r="J1327" i="1"/>
  <c r="K1327" i="1"/>
  <c r="A1328" i="1"/>
  <c r="B1328" i="1"/>
  <c r="C1328" i="1"/>
  <c r="D1328" i="1"/>
  <c r="E1328" i="1"/>
  <c r="F1328" i="1"/>
  <c r="G1328" i="1"/>
  <c r="H1328" i="1"/>
  <c r="I1328" i="1"/>
  <c r="J1328" i="1"/>
  <c r="K1328" i="1"/>
  <c r="A1329" i="1"/>
  <c r="B1329" i="1"/>
  <c r="C1329" i="1"/>
  <c r="D1329" i="1"/>
  <c r="E1329" i="1"/>
  <c r="F1329" i="1"/>
  <c r="G1329" i="1"/>
  <c r="H1329" i="1"/>
  <c r="I1329" i="1"/>
  <c r="J1329" i="1"/>
  <c r="K1329" i="1"/>
  <c r="A1330" i="1"/>
  <c r="B1330" i="1"/>
  <c r="C1330" i="1"/>
  <c r="D1330" i="1"/>
  <c r="E1330" i="1"/>
  <c r="F1330" i="1"/>
  <c r="G1330" i="1"/>
  <c r="H1330" i="1"/>
  <c r="I1330" i="1"/>
  <c r="J1330" i="1"/>
  <c r="K1330" i="1"/>
  <c r="A1331" i="1"/>
  <c r="B1331" i="1"/>
  <c r="C1331" i="1"/>
  <c r="D1331" i="1"/>
  <c r="E1331" i="1"/>
  <c r="F1331" i="1"/>
  <c r="G1331" i="1"/>
  <c r="H1331" i="1"/>
  <c r="I1331" i="1"/>
  <c r="J1331" i="1"/>
  <c r="K1331" i="1"/>
  <c r="A1332" i="1"/>
  <c r="B1332" i="1"/>
  <c r="C1332" i="1"/>
  <c r="D1332" i="1"/>
  <c r="E1332" i="1"/>
  <c r="F1332" i="1"/>
  <c r="G1332" i="1"/>
  <c r="H1332" i="1"/>
  <c r="I1332" i="1"/>
  <c r="J1332" i="1"/>
  <c r="K1332" i="1"/>
  <c r="A1333" i="1"/>
  <c r="B1333" i="1"/>
  <c r="C1333" i="1"/>
  <c r="D1333" i="1"/>
  <c r="E1333" i="1"/>
  <c r="F1333" i="1"/>
  <c r="G1333" i="1"/>
  <c r="H1333" i="1"/>
  <c r="I1333" i="1"/>
  <c r="J1333" i="1"/>
  <c r="K1333" i="1"/>
  <c r="A1334" i="1"/>
  <c r="B1334" i="1"/>
  <c r="C1334" i="1"/>
  <c r="D1334" i="1"/>
  <c r="E1334" i="1"/>
  <c r="F1334" i="1"/>
  <c r="G1334" i="1"/>
  <c r="H1334" i="1"/>
  <c r="I1334" i="1"/>
  <c r="J1334" i="1"/>
  <c r="K1334" i="1"/>
  <c r="A1335" i="1"/>
  <c r="B1335" i="1"/>
  <c r="C1335" i="1"/>
  <c r="D1335" i="1"/>
  <c r="E1335" i="1"/>
  <c r="F1335" i="1"/>
  <c r="G1335" i="1"/>
  <c r="H1335" i="1"/>
  <c r="I1335" i="1"/>
  <c r="J1335" i="1"/>
  <c r="K1335" i="1"/>
  <c r="A1336" i="1"/>
  <c r="B1336" i="1"/>
  <c r="C1336" i="1"/>
  <c r="D1336" i="1"/>
  <c r="E1336" i="1"/>
  <c r="F1336" i="1"/>
  <c r="G1336" i="1"/>
  <c r="H1336" i="1"/>
  <c r="I1336" i="1"/>
  <c r="J1336" i="1"/>
  <c r="K1336" i="1"/>
  <c r="A1337" i="1"/>
  <c r="B1337" i="1"/>
  <c r="C1337" i="1"/>
  <c r="D1337" i="1"/>
  <c r="E1337" i="1"/>
  <c r="F1337" i="1"/>
  <c r="G1337" i="1"/>
  <c r="H1337" i="1"/>
  <c r="I1337" i="1"/>
  <c r="J1337" i="1"/>
  <c r="K1337" i="1"/>
  <c r="A1338" i="1"/>
  <c r="B1338" i="1"/>
  <c r="C1338" i="1"/>
  <c r="D1338" i="1"/>
  <c r="E1338" i="1"/>
  <c r="F1338" i="1"/>
  <c r="G1338" i="1"/>
  <c r="H1338" i="1"/>
  <c r="I1338" i="1"/>
  <c r="J1338" i="1"/>
  <c r="K1338" i="1"/>
  <c r="A1339" i="1"/>
  <c r="B1339" i="1"/>
  <c r="C1339" i="1"/>
  <c r="D1339" i="1"/>
  <c r="E1339" i="1"/>
  <c r="F1339" i="1"/>
  <c r="G1339" i="1"/>
  <c r="H1339" i="1"/>
  <c r="I1339" i="1"/>
  <c r="J1339" i="1"/>
  <c r="K1339" i="1"/>
  <c r="A1340" i="1"/>
  <c r="B1340" i="1"/>
  <c r="C1340" i="1"/>
  <c r="D1340" i="1"/>
  <c r="E1340" i="1"/>
  <c r="F1340" i="1"/>
  <c r="G1340" i="1"/>
  <c r="H1340" i="1"/>
  <c r="I1340" i="1"/>
  <c r="J1340" i="1"/>
  <c r="K1340" i="1"/>
  <c r="A1341" i="1"/>
  <c r="B1341" i="1"/>
  <c r="C1341" i="1"/>
  <c r="D1341" i="1"/>
  <c r="E1341" i="1"/>
  <c r="F1341" i="1"/>
  <c r="G1341" i="1"/>
  <c r="H1341" i="1"/>
  <c r="I1341" i="1"/>
  <c r="J1341" i="1"/>
  <c r="K1341" i="1"/>
  <c r="A1342" i="1"/>
  <c r="B1342" i="1"/>
  <c r="C1342" i="1"/>
  <c r="D1342" i="1"/>
  <c r="E1342" i="1"/>
  <c r="F1342" i="1"/>
  <c r="G1342" i="1"/>
  <c r="H1342" i="1"/>
  <c r="I1342" i="1"/>
  <c r="J1342" i="1"/>
  <c r="K1342" i="1"/>
  <c r="A1343" i="1"/>
  <c r="B1343" i="1"/>
  <c r="C1343" i="1"/>
  <c r="D1343" i="1"/>
  <c r="E1343" i="1"/>
  <c r="F1343" i="1"/>
  <c r="G1343" i="1"/>
  <c r="H1343" i="1"/>
  <c r="I1343" i="1"/>
  <c r="J1343" i="1"/>
  <c r="K1343" i="1"/>
  <c r="A1344" i="1"/>
  <c r="B1344" i="1"/>
  <c r="C1344" i="1"/>
  <c r="D1344" i="1"/>
  <c r="E1344" i="1"/>
  <c r="F1344" i="1"/>
  <c r="G1344" i="1"/>
  <c r="H1344" i="1"/>
  <c r="I1344" i="1"/>
  <c r="J1344" i="1"/>
  <c r="K1344" i="1"/>
  <c r="A1345" i="1"/>
  <c r="B1345" i="1"/>
  <c r="C1345" i="1"/>
  <c r="D1345" i="1"/>
  <c r="E1345" i="1"/>
  <c r="F1345" i="1"/>
  <c r="G1345" i="1"/>
  <c r="H1345" i="1"/>
  <c r="I1345" i="1"/>
  <c r="J1345" i="1"/>
  <c r="K1345" i="1"/>
  <c r="A1346" i="1"/>
  <c r="B1346" i="1"/>
  <c r="C1346" i="1"/>
  <c r="D1346" i="1"/>
  <c r="E1346" i="1"/>
  <c r="F1346" i="1"/>
  <c r="G1346" i="1"/>
  <c r="H1346" i="1"/>
  <c r="I1346" i="1"/>
  <c r="J1346" i="1"/>
  <c r="K1346" i="1"/>
  <c r="A1347" i="1"/>
  <c r="B1347" i="1"/>
  <c r="C1347" i="1"/>
  <c r="D1347" i="1"/>
  <c r="E1347" i="1"/>
  <c r="F1347" i="1"/>
  <c r="G1347" i="1"/>
  <c r="H1347" i="1"/>
  <c r="I1347" i="1"/>
  <c r="J1347" i="1"/>
  <c r="K1347" i="1"/>
  <c r="A1348" i="1"/>
  <c r="B1348" i="1"/>
  <c r="C1348" i="1"/>
  <c r="D1348" i="1"/>
  <c r="E1348" i="1"/>
  <c r="F1348" i="1"/>
  <c r="G1348" i="1"/>
  <c r="H1348" i="1"/>
  <c r="I1348" i="1"/>
  <c r="J1348" i="1"/>
  <c r="K1348" i="1"/>
  <c r="A1349" i="1"/>
  <c r="B1349" i="1"/>
  <c r="C1349" i="1"/>
  <c r="D1349" i="1"/>
  <c r="E1349" i="1"/>
  <c r="F1349" i="1"/>
  <c r="G1349" i="1"/>
  <c r="H1349" i="1"/>
  <c r="I1349" i="1"/>
  <c r="J1349" i="1"/>
  <c r="K1349" i="1"/>
  <c r="A1350" i="1"/>
  <c r="B1350" i="1"/>
  <c r="C1350" i="1"/>
  <c r="D1350" i="1"/>
  <c r="E1350" i="1"/>
  <c r="F1350" i="1"/>
  <c r="G1350" i="1"/>
  <c r="H1350" i="1"/>
  <c r="I1350" i="1"/>
  <c r="J1350" i="1"/>
  <c r="K1350" i="1"/>
  <c r="A1351" i="1"/>
  <c r="B1351" i="1"/>
  <c r="C1351" i="1"/>
  <c r="D1351" i="1"/>
  <c r="E1351" i="1"/>
  <c r="F1351" i="1"/>
  <c r="G1351" i="1"/>
  <c r="H1351" i="1"/>
  <c r="I1351" i="1"/>
  <c r="J1351" i="1"/>
  <c r="K1351" i="1"/>
  <c r="A1352" i="1"/>
  <c r="B1352" i="1"/>
  <c r="C1352" i="1"/>
  <c r="D1352" i="1"/>
  <c r="E1352" i="1"/>
  <c r="F1352" i="1"/>
  <c r="G1352" i="1"/>
  <c r="H1352" i="1"/>
  <c r="I1352" i="1"/>
  <c r="J1352" i="1"/>
  <c r="K1352" i="1"/>
  <c r="A1353" i="1"/>
  <c r="B1353" i="1"/>
  <c r="C1353" i="1"/>
  <c r="D1353" i="1"/>
  <c r="E1353" i="1"/>
  <c r="F1353" i="1"/>
  <c r="G1353" i="1"/>
  <c r="H1353" i="1"/>
  <c r="I1353" i="1"/>
  <c r="J1353" i="1"/>
  <c r="K1353" i="1"/>
  <c r="A1354" i="1"/>
  <c r="B1354" i="1"/>
  <c r="C1354" i="1"/>
  <c r="D1354" i="1"/>
  <c r="E1354" i="1"/>
  <c r="F1354" i="1"/>
  <c r="G1354" i="1"/>
  <c r="H1354" i="1"/>
  <c r="I1354" i="1"/>
  <c r="J1354" i="1"/>
  <c r="K1354" i="1"/>
  <c r="A1355" i="1"/>
  <c r="B1355" i="1"/>
  <c r="C1355" i="1"/>
  <c r="D1355" i="1"/>
  <c r="E1355" i="1"/>
  <c r="F1355" i="1"/>
  <c r="G1355" i="1"/>
  <c r="H1355" i="1"/>
  <c r="I1355" i="1"/>
  <c r="J1355" i="1"/>
  <c r="K1355" i="1"/>
  <c r="A1356" i="1"/>
  <c r="B1356" i="1"/>
  <c r="C1356" i="1"/>
  <c r="D1356" i="1"/>
  <c r="E1356" i="1"/>
  <c r="F1356" i="1"/>
  <c r="G1356" i="1"/>
  <c r="H1356" i="1"/>
  <c r="I1356" i="1"/>
  <c r="J1356" i="1"/>
  <c r="K1356" i="1"/>
  <c r="A1357" i="1"/>
  <c r="B1357" i="1"/>
  <c r="C1357" i="1"/>
  <c r="D1357" i="1"/>
  <c r="E1357" i="1"/>
  <c r="F1357" i="1"/>
  <c r="G1357" i="1"/>
  <c r="H1357" i="1"/>
  <c r="I1357" i="1"/>
  <c r="J1357" i="1"/>
  <c r="K1357" i="1"/>
  <c r="A1358" i="1"/>
  <c r="B1358" i="1"/>
  <c r="C1358" i="1"/>
  <c r="D1358" i="1"/>
  <c r="E1358" i="1"/>
  <c r="F1358" i="1"/>
  <c r="G1358" i="1"/>
  <c r="H1358" i="1"/>
  <c r="I1358" i="1"/>
  <c r="J1358" i="1"/>
  <c r="K1358" i="1"/>
  <c r="A1359" i="1"/>
  <c r="B1359" i="1"/>
  <c r="C1359" i="1"/>
  <c r="D1359" i="1"/>
  <c r="E1359" i="1"/>
  <c r="F1359" i="1"/>
  <c r="G1359" i="1"/>
  <c r="H1359" i="1"/>
  <c r="I1359" i="1"/>
  <c r="J1359" i="1"/>
  <c r="K1359" i="1"/>
  <c r="A1360" i="1"/>
  <c r="B1360" i="1"/>
  <c r="C1360" i="1"/>
  <c r="D1360" i="1"/>
  <c r="E1360" i="1"/>
  <c r="F1360" i="1"/>
  <c r="G1360" i="1"/>
  <c r="H1360" i="1"/>
  <c r="I1360" i="1"/>
  <c r="J1360" i="1"/>
  <c r="K1360" i="1"/>
  <c r="A1361" i="1"/>
  <c r="B1361" i="1"/>
  <c r="C1361" i="1"/>
  <c r="D1361" i="1"/>
  <c r="E1361" i="1"/>
  <c r="F1361" i="1"/>
  <c r="G1361" i="1"/>
  <c r="H1361" i="1"/>
  <c r="I1361" i="1"/>
  <c r="J1361" i="1"/>
  <c r="K1361" i="1"/>
  <c r="A1362" i="1"/>
  <c r="B1362" i="1"/>
  <c r="C1362" i="1"/>
  <c r="D1362" i="1"/>
  <c r="E1362" i="1"/>
  <c r="F1362" i="1"/>
  <c r="G1362" i="1"/>
  <c r="H1362" i="1"/>
  <c r="I1362" i="1"/>
  <c r="J1362" i="1"/>
  <c r="K1362" i="1"/>
  <c r="A1363" i="1"/>
  <c r="B1363" i="1"/>
  <c r="C1363" i="1"/>
  <c r="D1363" i="1"/>
  <c r="E1363" i="1"/>
  <c r="F1363" i="1"/>
  <c r="G1363" i="1"/>
  <c r="H1363" i="1"/>
  <c r="I1363" i="1"/>
  <c r="J1363" i="1"/>
  <c r="K1363" i="1"/>
  <c r="A1364" i="1"/>
  <c r="B1364" i="1"/>
  <c r="C1364" i="1"/>
  <c r="D1364" i="1"/>
  <c r="E1364" i="1"/>
  <c r="F1364" i="1"/>
  <c r="G1364" i="1"/>
  <c r="H1364" i="1"/>
  <c r="I1364" i="1"/>
  <c r="J1364" i="1"/>
  <c r="K1364" i="1"/>
  <c r="A1365" i="1"/>
  <c r="B1365" i="1"/>
  <c r="C1365" i="1"/>
  <c r="D1365" i="1"/>
  <c r="E1365" i="1"/>
  <c r="F1365" i="1"/>
  <c r="G1365" i="1"/>
  <c r="H1365" i="1"/>
  <c r="I1365" i="1"/>
  <c r="J1365" i="1"/>
  <c r="K1365" i="1"/>
  <c r="A1366" i="1"/>
  <c r="B1366" i="1"/>
  <c r="C1366" i="1"/>
  <c r="D1366" i="1"/>
  <c r="E1366" i="1"/>
  <c r="F1366" i="1"/>
  <c r="G1366" i="1"/>
  <c r="H1366" i="1"/>
  <c r="I1366" i="1"/>
  <c r="J1366" i="1"/>
  <c r="K1366" i="1"/>
  <c r="A1367" i="1"/>
  <c r="B1367" i="1"/>
  <c r="C1367" i="1"/>
  <c r="D1367" i="1"/>
  <c r="E1367" i="1"/>
  <c r="F1367" i="1"/>
  <c r="G1367" i="1"/>
  <c r="H1367" i="1"/>
  <c r="I1367" i="1"/>
  <c r="J1367" i="1"/>
  <c r="K1367" i="1"/>
  <c r="A1368" i="1"/>
  <c r="B1368" i="1"/>
  <c r="C1368" i="1"/>
  <c r="D1368" i="1"/>
  <c r="E1368" i="1"/>
  <c r="F1368" i="1"/>
  <c r="G1368" i="1"/>
  <c r="H1368" i="1"/>
  <c r="I1368" i="1"/>
  <c r="J1368" i="1"/>
  <c r="K1368" i="1"/>
  <c r="A1369" i="1"/>
  <c r="B1369" i="1"/>
  <c r="C1369" i="1"/>
  <c r="D1369" i="1"/>
  <c r="E1369" i="1"/>
  <c r="F1369" i="1"/>
  <c r="G1369" i="1"/>
  <c r="H1369" i="1"/>
  <c r="I1369" i="1"/>
  <c r="J1369" i="1"/>
  <c r="K1369" i="1"/>
  <c r="A1370" i="1"/>
  <c r="B1370" i="1"/>
  <c r="C1370" i="1"/>
  <c r="D1370" i="1"/>
  <c r="E1370" i="1"/>
  <c r="F1370" i="1"/>
  <c r="G1370" i="1"/>
  <c r="H1370" i="1"/>
  <c r="I1370" i="1"/>
  <c r="J1370" i="1"/>
  <c r="K1370" i="1"/>
  <c r="A1371" i="1"/>
  <c r="B1371" i="1"/>
  <c r="C1371" i="1"/>
  <c r="D1371" i="1"/>
  <c r="E1371" i="1"/>
  <c r="F1371" i="1"/>
  <c r="G1371" i="1"/>
  <c r="H1371" i="1"/>
  <c r="I1371" i="1"/>
  <c r="J1371" i="1"/>
  <c r="K1371" i="1"/>
  <c r="A1372" i="1"/>
  <c r="B1372" i="1"/>
  <c r="C1372" i="1"/>
  <c r="D1372" i="1"/>
  <c r="E1372" i="1"/>
  <c r="F1372" i="1"/>
  <c r="G1372" i="1"/>
  <c r="H1372" i="1"/>
  <c r="I1372" i="1"/>
  <c r="J1372" i="1"/>
  <c r="K1372" i="1"/>
  <c r="A1373" i="1"/>
  <c r="B1373" i="1"/>
  <c r="C1373" i="1"/>
  <c r="D1373" i="1"/>
  <c r="E1373" i="1"/>
  <c r="F1373" i="1"/>
  <c r="G1373" i="1"/>
  <c r="H1373" i="1"/>
  <c r="I1373" i="1"/>
  <c r="J1373" i="1"/>
  <c r="K1373" i="1"/>
  <c r="A1374" i="1"/>
  <c r="B1374" i="1"/>
  <c r="C1374" i="1"/>
  <c r="D1374" i="1"/>
  <c r="E1374" i="1"/>
  <c r="F1374" i="1"/>
  <c r="G1374" i="1"/>
  <c r="H1374" i="1"/>
  <c r="I1374" i="1"/>
  <c r="J1374" i="1"/>
  <c r="K1374" i="1"/>
  <c r="A1375" i="1"/>
  <c r="B1375" i="1"/>
  <c r="C1375" i="1"/>
  <c r="D1375" i="1"/>
  <c r="E1375" i="1"/>
  <c r="F1375" i="1"/>
  <c r="G1375" i="1"/>
  <c r="H1375" i="1"/>
  <c r="I1375" i="1"/>
  <c r="J1375" i="1"/>
  <c r="K1375" i="1"/>
  <c r="A1376" i="1"/>
  <c r="B1376" i="1"/>
  <c r="C1376" i="1"/>
  <c r="D1376" i="1"/>
  <c r="E1376" i="1"/>
  <c r="F1376" i="1"/>
  <c r="G1376" i="1"/>
  <c r="H1376" i="1"/>
  <c r="I1376" i="1"/>
  <c r="J1376" i="1"/>
  <c r="K1376" i="1"/>
  <c r="A1377" i="1"/>
  <c r="B1377" i="1"/>
  <c r="C1377" i="1"/>
  <c r="D1377" i="1"/>
  <c r="E1377" i="1"/>
  <c r="F1377" i="1"/>
  <c r="G1377" i="1"/>
  <c r="H1377" i="1"/>
  <c r="I1377" i="1"/>
  <c r="J1377" i="1"/>
  <c r="K1377" i="1"/>
  <c r="A1378" i="1"/>
  <c r="B1378" i="1"/>
  <c r="C1378" i="1"/>
  <c r="D1378" i="1"/>
  <c r="E1378" i="1"/>
  <c r="F1378" i="1"/>
  <c r="G1378" i="1"/>
  <c r="H1378" i="1"/>
  <c r="I1378" i="1"/>
  <c r="J1378" i="1"/>
  <c r="K1378" i="1"/>
  <c r="A1379" i="1"/>
  <c r="B1379" i="1"/>
  <c r="C1379" i="1"/>
  <c r="D1379" i="1"/>
  <c r="E1379" i="1"/>
  <c r="F1379" i="1"/>
  <c r="G1379" i="1"/>
  <c r="H1379" i="1"/>
  <c r="I1379" i="1"/>
  <c r="J1379" i="1"/>
  <c r="K1379" i="1"/>
  <c r="A1380" i="1"/>
  <c r="B1380" i="1"/>
  <c r="C1380" i="1"/>
  <c r="D1380" i="1"/>
  <c r="E1380" i="1"/>
  <c r="F1380" i="1"/>
  <c r="G1380" i="1"/>
  <c r="H1380" i="1"/>
  <c r="I1380" i="1"/>
  <c r="J1380" i="1"/>
  <c r="K1380" i="1"/>
  <c r="A1381" i="1"/>
  <c r="B1381" i="1"/>
  <c r="C1381" i="1"/>
  <c r="D1381" i="1"/>
  <c r="E1381" i="1"/>
  <c r="F1381" i="1"/>
  <c r="G1381" i="1"/>
  <c r="H1381" i="1"/>
  <c r="I1381" i="1"/>
  <c r="J1381" i="1"/>
  <c r="K1381" i="1"/>
  <c r="A1382" i="1"/>
  <c r="B1382" i="1"/>
  <c r="C1382" i="1"/>
  <c r="D1382" i="1"/>
  <c r="E1382" i="1"/>
  <c r="F1382" i="1"/>
  <c r="G1382" i="1"/>
  <c r="H1382" i="1"/>
  <c r="I1382" i="1"/>
  <c r="J1382" i="1"/>
  <c r="K1382" i="1"/>
  <c r="A1383" i="1"/>
  <c r="B1383" i="1"/>
  <c r="C1383" i="1"/>
  <c r="D1383" i="1"/>
  <c r="E1383" i="1"/>
  <c r="F1383" i="1"/>
  <c r="G1383" i="1"/>
  <c r="H1383" i="1"/>
  <c r="I1383" i="1"/>
  <c r="J1383" i="1"/>
  <c r="K1383" i="1"/>
  <c r="A1384" i="1"/>
  <c r="B1384" i="1"/>
  <c r="C1384" i="1"/>
  <c r="D1384" i="1"/>
  <c r="E1384" i="1"/>
  <c r="F1384" i="1"/>
  <c r="G1384" i="1"/>
  <c r="H1384" i="1"/>
  <c r="I1384" i="1"/>
  <c r="J1384" i="1"/>
  <c r="K1384" i="1"/>
  <c r="A1385" i="1"/>
  <c r="B1385" i="1"/>
  <c r="C1385" i="1"/>
  <c r="D1385" i="1"/>
  <c r="E1385" i="1"/>
  <c r="F1385" i="1"/>
  <c r="G1385" i="1"/>
  <c r="H1385" i="1"/>
  <c r="I1385" i="1"/>
  <c r="J1385" i="1"/>
  <c r="K1385" i="1"/>
  <c r="A1386" i="1"/>
  <c r="B1386" i="1"/>
  <c r="C1386" i="1"/>
  <c r="D1386" i="1"/>
  <c r="E1386" i="1"/>
  <c r="F1386" i="1"/>
  <c r="G1386" i="1"/>
  <c r="H1386" i="1"/>
  <c r="I1386" i="1"/>
  <c r="J1386" i="1"/>
  <c r="K1386" i="1"/>
  <c r="A1387" i="1"/>
  <c r="B1387" i="1"/>
  <c r="C1387" i="1"/>
  <c r="D1387" i="1"/>
  <c r="E1387" i="1"/>
  <c r="F1387" i="1"/>
  <c r="G1387" i="1"/>
  <c r="H1387" i="1"/>
  <c r="I1387" i="1"/>
  <c r="J1387" i="1"/>
  <c r="K1387" i="1"/>
  <c r="A1388" i="1"/>
  <c r="B1388" i="1"/>
  <c r="C1388" i="1"/>
  <c r="D1388" i="1"/>
  <c r="E1388" i="1"/>
  <c r="F1388" i="1"/>
  <c r="G1388" i="1"/>
  <c r="H1388" i="1"/>
  <c r="I1388" i="1"/>
  <c r="J1388" i="1"/>
  <c r="K1388" i="1"/>
  <c r="A1389" i="1"/>
  <c r="B1389" i="1"/>
  <c r="C1389" i="1"/>
  <c r="D1389" i="1"/>
  <c r="E1389" i="1"/>
  <c r="F1389" i="1"/>
  <c r="G1389" i="1"/>
  <c r="H1389" i="1"/>
  <c r="I1389" i="1"/>
  <c r="J1389" i="1"/>
  <c r="K1389" i="1"/>
  <c r="A1390" i="1"/>
  <c r="B1390" i="1"/>
  <c r="C1390" i="1"/>
  <c r="D1390" i="1"/>
  <c r="E1390" i="1"/>
  <c r="F1390" i="1"/>
  <c r="G1390" i="1"/>
  <c r="H1390" i="1"/>
  <c r="I1390" i="1"/>
  <c r="J1390" i="1"/>
  <c r="K1390" i="1"/>
  <c r="A1391" i="1"/>
  <c r="B1391" i="1"/>
  <c r="C1391" i="1"/>
  <c r="D1391" i="1"/>
  <c r="E1391" i="1"/>
  <c r="F1391" i="1"/>
  <c r="G1391" i="1"/>
  <c r="H1391" i="1"/>
  <c r="I1391" i="1"/>
  <c r="J1391" i="1"/>
  <c r="K1391" i="1"/>
  <c r="A1392" i="1"/>
  <c r="B1392" i="1"/>
  <c r="C1392" i="1"/>
  <c r="D1392" i="1"/>
  <c r="E1392" i="1"/>
  <c r="F1392" i="1"/>
  <c r="G1392" i="1"/>
  <c r="H1392" i="1"/>
  <c r="I1392" i="1"/>
  <c r="J1392" i="1"/>
  <c r="K1392" i="1"/>
  <c r="A1393" i="1"/>
  <c r="B1393" i="1"/>
  <c r="C1393" i="1"/>
  <c r="D1393" i="1"/>
  <c r="E1393" i="1"/>
  <c r="F1393" i="1"/>
  <c r="G1393" i="1"/>
  <c r="H1393" i="1"/>
  <c r="I1393" i="1"/>
  <c r="J1393" i="1"/>
  <c r="K1393" i="1"/>
  <c r="A1394" i="1"/>
  <c r="B1394" i="1"/>
  <c r="C1394" i="1"/>
  <c r="D1394" i="1"/>
  <c r="E1394" i="1"/>
  <c r="F1394" i="1"/>
  <c r="G1394" i="1"/>
  <c r="H1394" i="1"/>
  <c r="I1394" i="1"/>
  <c r="J1394" i="1"/>
  <c r="K1394" i="1"/>
  <c r="A1395" i="1"/>
  <c r="B1395" i="1"/>
  <c r="C1395" i="1"/>
  <c r="D1395" i="1"/>
  <c r="E1395" i="1"/>
  <c r="F1395" i="1"/>
  <c r="G1395" i="1"/>
  <c r="H1395" i="1"/>
  <c r="I1395" i="1"/>
  <c r="J1395" i="1"/>
  <c r="K1395" i="1"/>
  <c r="A1396" i="1"/>
  <c r="B1396" i="1"/>
  <c r="C1396" i="1"/>
  <c r="D1396" i="1"/>
  <c r="E1396" i="1"/>
  <c r="F1396" i="1"/>
  <c r="G1396" i="1"/>
  <c r="H1396" i="1"/>
  <c r="I1396" i="1"/>
  <c r="J1396" i="1"/>
  <c r="K1396" i="1"/>
  <c r="A1397" i="1"/>
  <c r="B1397" i="1"/>
  <c r="C1397" i="1"/>
  <c r="D1397" i="1"/>
  <c r="E1397" i="1"/>
  <c r="F1397" i="1"/>
  <c r="G1397" i="1"/>
  <c r="H1397" i="1"/>
  <c r="I1397" i="1"/>
  <c r="J1397" i="1"/>
  <c r="K1397" i="1"/>
  <c r="A1398" i="1"/>
  <c r="B1398" i="1"/>
  <c r="C1398" i="1"/>
  <c r="D1398" i="1"/>
  <c r="E1398" i="1"/>
  <c r="F1398" i="1"/>
  <c r="G1398" i="1"/>
  <c r="H1398" i="1"/>
  <c r="I1398" i="1"/>
  <c r="J1398" i="1"/>
  <c r="K1398" i="1"/>
  <c r="A1399" i="1"/>
  <c r="B1399" i="1"/>
  <c r="C1399" i="1"/>
  <c r="D1399" i="1"/>
  <c r="E1399" i="1"/>
  <c r="F1399" i="1"/>
  <c r="G1399" i="1"/>
  <c r="H1399" i="1"/>
  <c r="I1399" i="1"/>
  <c r="J1399" i="1"/>
  <c r="K1399" i="1"/>
  <c r="A1400" i="1"/>
  <c r="B1400" i="1"/>
  <c r="C1400" i="1"/>
  <c r="D1400" i="1"/>
  <c r="E1400" i="1"/>
  <c r="F1400" i="1"/>
  <c r="G1400" i="1"/>
  <c r="H1400" i="1"/>
  <c r="I1400" i="1"/>
  <c r="J1400" i="1"/>
  <c r="K1400" i="1"/>
  <c r="A1401" i="1"/>
  <c r="B1401" i="1"/>
  <c r="C1401" i="1"/>
  <c r="D1401" i="1"/>
  <c r="E1401" i="1"/>
  <c r="F1401" i="1"/>
  <c r="G1401" i="1"/>
  <c r="H1401" i="1"/>
  <c r="I1401" i="1"/>
  <c r="J1401" i="1"/>
  <c r="K1401" i="1"/>
  <c r="A1402" i="1"/>
  <c r="B1402" i="1"/>
  <c r="C1402" i="1"/>
  <c r="D1402" i="1"/>
  <c r="E1402" i="1"/>
  <c r="F1402" i="1"/>
  <c r="G1402" i="1"/>
  <c r="H1402" i="1"/>
  <c r="I1402" i="1"/>
  <c r="J1402" i="1"/>
  <c r="K1402" i="1"/>
  <c r="A1403" i="1"/>
  <c r="B1403" i="1"/>
  <c r="C1403" i="1"/>
  <c r="D1403" i="1"/>
  <c r="E1403" i="1"/>
  <c r="F1403" i="1"/>
  <c r="G1403" i="1"/>
  <c r="H1403" i="1"/>
  <c r="I1403" i="1"/>
  <c r="J1403" i="1"/>
  <c r="K1403" i="1"/>
  <c r="A1404" i="1"/>
  <c r="B1404" i="1"/>
  <c r="C1404" i="1"/>
  <c r="D1404" i="1"/>
  <c r="E1404" i="1"/>
  <c r="F1404" i="1"/>
  <c r="G1404" i="1"/>
  <c r="H1404" i="1"/>
  <c r="I1404" i="1"/>
  <c r="J1404" i="1"/>
  <c r="K1404" i="1"/>
  <c r="A1405" i="1"/>
  <c r="B1405" i="1"/>
  <c r="C1405" i="1"/>
  <c r="D1405" i="1"/>
  <c r="E1405" i="1"/>
  <c r="F1405" i="1"/>
  <c r="G1405" i="1"/>
  <c r="H1405" i="1"/>
  <c r="I1405" i="1"/>
  <c r="J1405" i="1"/>
  <c r="K1405" i="1"/>
  <c r="A1406" i="1"/>
  <c r="B1406" i="1"/>
  <c r="C1406" i="1"/>
  <c r="D1406" i="1"/>
  <c r="E1406" i="1"/>
  <c r="F1406" i="1"/>
  <c r="G1406" i="1"/>
  <c r="H1406" i="1"/>
  <c r="I1406" i="1"/>
  <c r="J1406" i="1"/>
  <c r="K1406" i="1"/>
  <c r="A1407" i="1"/>
  <c r="B1407" i="1"/>
  <c r="C1407" i="1"/>
  <c r="D1407" i="1"/>
  <c r="E1407" i="1"/>
  <c r="F1407" i="1"/>
  <c r="G1407" i="1"/>
  <c r="H1407" i="1"/>
  <c r="I1407" i="1"/>
  <c r="J1407" i="1"/>
  <c r="K1407" i="1"/>
  <c r="A1408" i="1"/>
  <c r="B1408" i="1"/>
  <c r="C1408" i="1"/>
  <c r="D1408" i="1"/>
  <c r="E1408" i="1"/>
  <c r="F1408" i="1"/>
  <c r="G1408" i="1"/>
  <c r="H1408" i="1"/>
  <c r="I1408" i="1"/>
  <c r="J1408" i="1"/>
  <c r="K1408" i="1"/>
  <c r="A1409" i="1"/>
  <c r="B1409" i="1"/>
  <c r="C1409" i="1"/>
  <c r="D1409" i="1"/>
  <c r="E1409" i="1"/>
  <c r="F1409" i="1"/>
  <c r="G1409" i="1"/>
  <c r="H1409" i="1"/>
  <c r="I1409" i="1"/>
  <c r="J1409" i="1"/>
  <c r="K1409" i="1"/>
  <c r="A1410" i="1"/>
  <c r="B1410" i="1"/>
  <c r="C1410" i="1"/>
  <c r="D1410" i="1"/>
  <c r="E1410" i="1"/>
  <c r="F1410" i="1"/>
  <c r="G1410" i="1"/>
  <c r="H1410" i="1"/>
  <c r="I1410" i="1"/>
  <c r="J1410" i="1"/>
  <c r="K1410" i="1"/>
  <c r="A1411" i="1"/>
  <c r="B1411" i="1"/>
  <c r="C1411" i="1"/>
  <c r="D1411" i="1"/>
  <c r="E1411" i="1"/>
  <c r="F1411" i="1"/>
  <c r="G1411" i="1"/>
  <c r="H1411" i="1"/>
  <c r="I1411" i="1"/>
  <c r="J1411" i="1"/>
  <c r="K1411" i="1"/>
  <c r="A1412" i="1"/>
  <c r="B1412" i="1"/>
  <c r="C1412" i="1"/>
  <c r="D1412" i="1"/>
  <c r="E1412" i="1"/>
  <c r="F1412" i="1"/>
  <c r="G1412" i="1"/>
  <c r="H1412" i="1"/>
  <c r="I1412" i="1"/>
  <c r="J1412" i="1"/>
  <c r="K1412" i="1"/>
  <c r="A1413" i="1"/>
  <c r="B1413" i="1"/>
  <c r="C1413" i="1"/>
  <c r="D1413" i="1"/>
  <c r="E1413" i="1"/>
  <c r="F1413" i="1"/>
  <c r="G1413" i="1"/>
  <c r="H1413" i="1"/>
  <c r="I1413" i="1"/>
  <c r="J1413" i="1"/>
  <c r="K1413" i="1"/>
  <c r="A1414" i="1"/>
  <c r="B1414" i="1"/>
  <c r="C1414" i="1"/>
  <c r="D1414" i="1"/>
  <c r="E1414" i="1"/>
  <c r="F1414" i="1"/>
  <c r="G1414" i="1"/>
  <c r="H1414" i="1"/>
  <c r="I1414" i="1"/>
  <c r="J1414" i="1"/>
  <c r="K1414" i="1"/>
  <c r="A1415" i="1"/>
  <c r="B1415" i="1"/>
  <c r="C1415" i="1"/>
  <c r="D1415" i="1"/>
  <c r="E1415" i="1"/>
  <c r="F1415" i="1"/>
  <c r="G1415" i="1"/>
  <c r="H1415" i="1"/>
  <c r="I1415" i="1"/>
  <c r="J1415" i="1"/>
  <c r="K1415" i="1"/>
  <c r="A1416" i="1"/>
  <c r="B1416" i="1"/>
  <c r="C1416" i="1"/>
  <c r="D1416" i="1"/>
  <c r="E1416" i="1"/>
  <c r="F1416" i="1"/>
  <c r="G1416" i="1"/>
  <c r="H1416" i="1"/>
  <c r="I1416" i="1"/>
  <c r="J1416" i="1"/>
  <c r="K1416" i="1"/>
  <c r="A1417" i="1"/>
  <c r="B1417" i="1"/>
  <c r="C1417" i="1"/>
  <c r="D1417" i="1"/>
  <c r="E1417" i="1"/>
  <c r="F1417" i="1"/>
  <c r="G1417" i="1"/>
  <c r="H1417" i="1"/>
  <c r="I1417" i="1"/>
  <c r="J1417" i="1"/>
  <c r="K1417" i="1"/>
  <c r="A1418" i="1"/>
  <c r="B1418" i="1"/>
  <c r="C1418" i="1"/>
  <c r="D1418" i="1"/>
  <c r="E1418" i="1"/>
  <c r="F1418" i="1"/>
  <c r="G1418" i="1"/>
  <c r="H1418" i="1"/>
  <c r="I1418" i="1"/>
  <c r="J1418" i="1"/>
  <c r="K1418" i="1"/>
  <c r="A1419" i="1"/>
  <c r="B1419" i="1"/>
  <c r="C1419" i="1"/>
  <c r="D1419" i="1"/>
  <c r="E1419" i="1"/>
  <c r="F1419" i="1"/>
  <c r="G1419" i="1"/>
  <c r="H1419" i="1"/>
  <c r="I1419" i="1"/>
  <c r="J1419" i="1"/>
  <c r="K1419" i="1"/>
  <c r="A1420" i="1"/>
  <c r="B1420" i="1"/>
  <c r="C1420" i="1"/>
  <c r="D1420" i="1"/>
  <c r="E1420" i="1"/>
  <c r="F1420" i="1"/>
  <c r="G1420" i="1"/>
  <c r="H1420" i="1"/>
  <c r="I1420" i="1"/>
  <c r="J1420" i="1"/>
  <c r="K1420" i="1"/>
  <c r="A1421" i="1"/>
  <c r="B1421" i="1"/>
  <c r="C1421" i="1"/>
  <c r="D1421" i="1"/>
  <c r="E1421" i="1"/>
  <c r="F1421" i="1"/>
  <c r="G1421" i="1"/>
  <c r="H1421" i="1"/>
  <c r="I1421" i="1"/>
  <c r="J1421" i="1"/>
  <c r="K1421" i="1"/>
  <c r="A1422" i="1"/>
  <c r="B1422" i="1"/>
  <c r="C1422" i="1"/>
  <c r="D1422" i="1"/>
  <c r="E1422" i="1"/>
  <c r="F1422" i="1"/>
  <c r="G1422" i="1"/>
  <c r="H1422" i="1"/>
  <c r="I1422" i="1"/>
  <c r="J1422" i="1"/>
  <c r="K1422" i="1"/>
  <c r="A1423" i="1"/>
  <c r="B1423" i="1"/>
  <c r="C1423" i="1"/>
  <c r="D1423" i="1"/>
  <c r="E1423" i="1"/>
  <c r="F1423" i="1"/>
  <c r="G1423" i="1"/>
  <c r="H1423" i="1"/>
  <c r="I1423" i="1"/>
  <c r="J1423" i="1"/>
  <c r="K1423" i="1"/>
  <c r="A1424" i="1"/>
  <c r="B1424" i="1"/>
  <c r="C1424" i="1"/>
  <c r="D1424" i="1"/>
  <c r="E1424" i="1"/>
  <c r="F1424" i="1"/>
  <c r="G1424" i="1"/>
  <c r="H1424" i="1"/>
  <c r="I1424" i="1"/>
  <c r="J1424" i="1"/>
  <c r="K1424" i="1"/>
  <c r="A1425" i="1"/>
  <c r="B1425" i="1"/>
  <c r="C1425" i="1"/>
  <c r="D1425" i="1"/>
  <c r="E1425" i="1"/>
  <c r="F1425" i="1"/>
  <c r="G1425" i="1"/>
  <c r="H1425" i="1"/>
  <c r="I1425" i="1"/>
  <c r="J1425" i="1"/>
  <c r="K1425" i="1"/>
  <c r="A1426" i="1"/>
  <c r="B1426" i="1"/>
  <c r="C1426" i="1"/>
  <c r="D1426" i="1"/>
  <c r="E1426" i="1"/>
  <c r="F1426" i="1"/>
  <c r="G1426" i="1"/>
  <c r="H1426" i="1"/>
  <c r="I1426" i="1"/>
  <c r="J1426" i="1"/>
  <c r="K1426" i="1"/>
  <c r="A1427" i="1"/>
  <c r="B1427" i="1"/>
  <c r="C1427" i="1"/>
  <c r="D1427" i="1"/>
  <c r="E1427" i="1"/>
  <c r="F1427" i="1"/>
  <c r="G1427" i="1"/>
  <c r="H1427" i="1"/>
  <c r="I1427" i="1"/>
  <c r="J1427" i="1"/>
  <c r="K1427" i="1"/>
  <c r="A1428" i="1"/>
  <c r="B1428" i="1"/>
  <c r="C1428" i="1"/>
  <c r="D1428" i="1"/>
  <c r="E1428" i="1"/>
  <c r="F1428" i="1"/>
  <c r="G1428" i="1"/>
  <c r="H1428" i="1"/>
  <c r="I1428" i="1"/>
  <c r="J1428" i="1"/>
  <c r="K1428" i="1"/>
  <c r="A1429" i="1"/>
  <c r="B1429" i="1"/>
  <c r="C1429" i="1"/>
  <c r="D1429" i="1"/>
  <c r="E1429" i="1"/>
  <c r="F1429" i="1"/>
  <c r="G1429" i="1"/>
  <c r="H1429" i="1"/>
  <c r="I1429" i="1"/>
  <c r="J1429" i="1"/>
  <c r="K1429" i="1"/>
  <c r="A1430" i="1"/>
  <c r="B1430" i="1"/>
  <c r="C1430" i="1"/>
  <c r="D1430" i="1"/>
  <c r="E1430" i="1"/>
  <c r="F1430" i="1"/>
  <c r="G1430" i="1"/>
  <c r="H1430" i="1"/>
  <c r="I1430" i="1"/>
  <c r="J1430" i="1"/>
  <c r="K1430" i="1"/>
  <c r="A1431" i="1"/>
  <c r="B1431" i="1"/>
  <c r="C1431" i="1"/>
  <c r="D1431" i="1"/>
  <c r="E1431" i="1"/>
  <c r="F1431" i="1"/>
  <c r="G1431" i="1"/>
  <c r="H1431" i="1"/>
  <c r="I1431" i="1"/>
  <c r="J1431" i="1"/>
  <c r="K1431" i="1"/>
  <c r="A1432" i="1"/>
  <c r="B1432" i="1"/>
  <c r="C1432" i="1"/>
  <c r="D1432" i="1"/>
  <c r="E1432" i="1"/>
  <c r="F1432" i="1"/>
  <c r="G1432" i="1"/>
  <c r="H1432" i="1"/>
  <c r="I1432" i="1"/>
  <c r="J1432" i="1"/>
  <c r="K1432" i="1"/>
  <c r="A1433" i="1"/>
  <c r="B1433" i="1"/>
  <c r="C1433" i="1"/>
  <c r="D1433" i="1"/>
  <c r="E1433" i="1"/>
  <c r="F1433" i="1"/>
  <c r="G1433" i="1"/>
  <c r="H1433" i="1"/>
  <c r="I1433" i="1"/>
  <c r="J1433" i="1"/>
  <c r="K1433" i="1"/>
  <c r="A1434" i="1"/>
  <c r="B1434" i="1"/>
  <c r="C1434" i="1"/>
  <c r="D1434" i="1"/>
  <c r="E1434" i="1"/>
  <c r="F1434" i="1"/>
  <c r="G1434" i="1"/>
  <c r="H1434" i="1"/>
  <c r="I1434" i="1"/>
  <c r="J1434" i="1"/>
  <c r="K1434" i="1"/>
  <c r="A1435" i="1"/>
  <c r="B1435" i="1"/>
  <c r="C1435" i="1"/>
  <c r="D1435" i="1"/>
  <c r="E1435" i="1"/>
  <c r="F1435" i="1"/>
  <c r="G1435" i="1"/>
  <c r="H1435" i="1"/>
  <c r="I1435" i="1"/>
  <c r="J1435" i="1"/>
  <c r="K1435" i="1"/>
  <c r="A1436" i="1"/>
  <c r="B1436" i="1"/>
  <c r="C1436" i="1"/>
  <c r="D1436" i="1"/>
  <c r="E1436" i="1"/>
  <c r="F1436" i="1"/>
  <c r="G1436" i="1"/>
  <c r="H1436" i="1"/>
  <c r="I1436" i="1"/>
  <c r="J1436" i="1"/>
  <c r="K1436" i="1"/>
  <c r="A1437" i="1"/>
  <c r="B1437" i="1"/>
  <c r="C1437" i="1"/>
  <c r="D1437" i="1"/>
  <c r="E1437" i="1"/>
  <c r="F1437" i="1"/>
  <c r="G1437" i="1"/>
  <c r="H1437" i="1"/>
  <c r="I1437" i="1"/>
  <c r="J1437" i="1"/>
  <c r="K1437" i="1"/>
  <c r="A1438" i="1"/>
  <c r="B1438" i="1"/>
  <c r="C1438" i="1"/>
  <c r="D1438" i="1"/>
  <c r="E1438" i="1"/>
  <c r="F1438" i="1"/>
  <c r="G1438" i="1"/>
  <c r="H1438" i="1"/>
  <c r="I1438" i="1"/>
  <c r="J1438" i="1"/>
  <c r="K1438" i="1"/>
  <c r="A1439" i="1"/>
  <c r="B1439" i="1"/>
  <c r="C1439" i="1"/>
  <c r="D1439" i="1"/>
  <c r="E1439" i="1"/>
  <c r="F1439" i="1"/>
  <c r="G1439" i="1"/>
  <c r="H1439" i="1"/>
  <c r="I1439" i="1"/>
  <c r="J1439" i="1"/>
  <c r="K1439" i="1"/>
  <c r="A1440" i="1"/>
  <c r="B1440" i="1"/>
  <c r="C1440" i="1"/>
  <c r="D1440" i="1"/>
  <c r="E1440" i="1"/>
  <c r="F1440" i="1"/>
  <c r="G1440" i="1"/>
  <c r="H1440" i="1"/>
  <c r="I1440" i="1"/>
  <c r="J1440" i="1"/>
  <c r="K1440" i="1"/>
  <c r="A1441" i="1"/>
  <c r="B1441" i="1"/>
  <c r="C1441" i="1"/>
  <c r="D1441" i="1"/>
  <c r="E1441" i="1"/>
  <c r="F1441" i="1"/>
  <c r="G1441" i="1"/>
  <c r="H1441" i="1"/>
  <c r="I1441" i="1"/>
  <c r="J1441" i="1"/>
  <c r="K1441" i="1"/>
  <c r="A1442" i="1"/>
  <c r="B1442" i="1"/>
  <c r="C1442" i="1"/>
  <c r="D1442" i="1"/>
  <c r="E1442" i="1"/>
  <c r="F1442" i="1"/>
  <c r="G1442" i="1"/>
  <c r="H1442" i="1"/>
  <c r="I1442" i="1"/>
  <c r="J1442" i="1"/>
  <c r="K1442" i="1"/>
  <c r="A1443" i="1"/>
  <c r="B1443" i="1"/>
  <c r="C1443" i="1"/>
  <c r="D1443" i="1"/>
  <c r="E1443" i="1"/>
  <c r="F1443" i="1"/>
  <c r="G1443" i="1"/>
  <c r="H1443" i="1"/>
  <c r="I1443" i="1"/>
  <c r="J1443" i="1"/>
  <c r="K1443" i="1"/>
  <c r="A1444" i="1"/>
  <c r="B1444" i="1"/>
  <c r="C1444" i="1"/>
  <c r="D1444" i="1"/>
  <c r="E1444" i="1"/>
  <c r="F1444" i="1"/>
  <c r="G1444" i="1"/>
  <c r="H1444" i="1"/>
  <c r="I1444" i="1"/>
  <c r="J1444" i="1"/>
  <c r="K1444" i="1"/>
  <c r="A1445" i="1"/>
  <c r="B1445" i="1"/>
  <c r="C1445" i="1"/>
  <c r="D1445" i="1"/>
  <c r="E1445" i="1"/>
  <c r="F1445" i="1"/>
  <c r="G1445" i="1"/>
  <c r="H1445" i="1"/>
  <c r="I1445" i="1"/>
  <c r="J1445" i="1"/>
  <c r="K1445" i="1"/>
  <c r="A1446" i="1"/>
  <c r="B1446" i="1"/>
  <c r="C1446" i="1"/>
  <c r="D1446" i="1"/>
  <c r="E1446" i="1"/>
  <c r="F1446" i="1"/>
  <c r="G1446" i="1"/>
  <c r="H1446" i="1"/>
  <c r="I1446" i="1"/>
  <c r="J1446" i="1"/>
  <c r="K1446" i="1"/>
  <c r="A1447" i="1"/>
  <c r="B1447" i="1"/>
  <c r="C1447" i="1"/>
  <c r="D1447" i="1"/>
  <c r="E1447" i="1"/>
  <c r="F1447" i="1"/>
  <c r="G1447" i="1"/>
  <c r="H1447" i="1"/>
  <c r="I1447" i="1"/>
  <c r="J1447" i="1"/>
  <c r="K1447" i="1"/>
  <c r="A1448" i="1"/>
  <c r="B1448" i="1"/>
  <c r="C1448" i="1"/>
  <c r="D1448" i="1"/>
  <c r="E1448" i="1"/>
  <c r="F1448" i="1"/>
  <c r="G1448" i="1"/>
  <c r="H1448" i="1"/>
  <c r="I1448" i="1"/>
  <c r="J1448" i="1"/>
  <c r="K1448" i="1"/>
  <c r="A1449" i="1"/>
  <c r="B1449" i="1"/>
  <c r="C1449" i="1"/>
  <c r="D1449" i="1"/>
  <c r="E1449" i="1"/>
  <c r="F1449" i="1"/>
  <c r="G1449" i="1"/>
  <c r="H1449" i="1"/>
  <c r="I1449" i="1"/>
  <c r="J1449" i="1"/>
  <c r="K1449" i="1"/>
  <c r="A1450" i="1"/>
  <c r="B1450" i="1"/>
  <c r="C1450" i="1"/>
  <c r="D1450" i="1"/>
  <c r="E1450" i="1"/>
  <c r="F1450" i="1"/>
  <c r="G1450" i="1"/>
  <c r="H1450" i="1"/>
  <c r="I1450" i="1"/>
  <c r="J1450" i="1"/>
  <c r="K1450" i="1"/>
  <c r="A1451" i="1"/>
  <c r="B1451" i="1"/>
  <c r="C1451" i="1"/>
  <c r="D1451" i="1"/>
  <c r="E1451" i="1"/>
  <c r="F1451" i="1"/>
  <c r="G1451" i="1"/>
  <c r="H1451" i="1"/>
  <c r="I1451" i="1"/>
  <c r="J1451" i="1"/>
  <c r="K1451" i="1"/>
  <c r="A1452" i="1"/>
  <c r="B1452" i="1"/>
  <c r="C1452" i="1"/>
  <c r="D1452" i="1"/>
  <c r="E1452" i="1"/>
  <c r="F1452" i="1"/>
  <c r="G1452" i="1"/>
  <c r="H1452" i="1"/>
  <c r="I1452" i="1"/>
  <c r="J1452" i="1"/>
  <c r="K1452" i="1"/>
  <c r="A1453" i="1"/>
  <c r="B1453" i="1"/>
  <c r="C1453" i="1"/>
  <c r="D1453" i="1"/>
  <c r="E1453" i="1"/>
  <c r="F1453" i="1"/>
  <c r="G1453" i="1"/>
  <c r="H1453" i="1"/>
  <c r="I1453" i="1"/>
  <c r="J1453" i="1"/>
  <c r="K1453" i="1"/>
  <c r="A1454" i="1"/>
  <c r="B1454" i="1"/>
  <c r="C1454" i="1"/>
  <c r="D1454" i="1"/>
  <c r="E1454" i="1"/>
  <c r="F1454" i="1"/>
  <c r="G1454" i="1"/>
  <c r="H1454" i="1"/>
  <c r="I1454" i="1"/>
  <c r="J1454" i="1"/>
  <c r="K1454" i="1"/>
  <c r="A1455" i="1"/>
  <c r="B1455" i="1"/>
  <c r="C1455" i="1"/>
  <c r="D1455" i="1"/>
  <c r="E1455" i="1"/>
  <c r="F1455" i="1"/>
  <c r="G1455" i="1"/>
  <c r="H1455" i="1"/>
  <c r="I1455" i="1"/>
  <c r="J1455" i="1"/>
  <c r="K1455" i="1"/>
  <c r="A1456" i="1"/>
  <c r="B1456" i="1"/>
  <c r="C1456" i="1"/>
  <c r="D1456" i="1"/>
  <c r="E1456" i="1"/>
  <c r="F1456" i="1"/>
  <c r="G1456" i="1"/>
  <c r="H1456" i="1"/>
  <c r="I1456" i="1"/>
  <c r="J1456" i="1"/>
  <c r="K1456" i="1"/>
  <c r="A1457" i="1"/>
  <c r="B1457" i="1"/>
  <c r="C1457" i="1"/>
  <c r="D1457" i="1"/>
  <c r="E1457" i="1"/>
  <c r="F1457" i="1"/>
  <c r="G1457" i="1"/>
  <c r="H1457" i="1"/>
  <c r="I1457" i="1"/>
  <c r="J1457" i="1"/>
  <c r="K1457" i="1"/>
  <c r="A1458" i="1"/>
  <c r="B1458" i="1"/>
  <c r="C1458" i="1"/>
  <c r="D1458" i="1"/>
  <c r="E1458" i="1"/>
  <c r="F1458" i="1"/>
  <c r="G1458" i="1"/>
  <c r="H1458" i="1"/>
  <c r="I1458" i="1"/>
  <c r="J1458" i="1"/>
  <c r="K1458" i="1"/>
  <c r="A1459" i="1"/>
  <c r="B1459" i="1"/>
  <c r="C1459" i="1"/>
  <c r="D1459" i="1"/>
  <c r="E1459" i="1"/>
  <c r="F1459" i="1"/>
  <c r="G1459" i="1"/>
  <c r="H1459" i="1"/>
  <c r="I1459" i="1"/>
  <c r="J1459" i="1"/>
  <c r="K1459" i="1"/>
  <c r="A1460" i="1"/>
  <c r="B1460" i="1"/>
  <c r="C1460" i="1"/>
  <c r="D1460" i="1"/>
  <c r="E1460" i="1"/>
  <c r="F1460" i="1"/>
  <c r="G1460" i="1"/>
  <c r="H1460" i="1"/>
  <c r="I1460" i="1"/>
  <c r="J1460" i="1"/>
  <c r="K1460" i="1"/>
  <c r="A1461" i="1"/>
  <c r="B1461" i="1"/>
  <c r="C1461" i="1"/>
  <c r="D1461" i="1"/>
  <c r="E1461" i="1"/>
  <c r="F1461" i="1"/>
  <c r="G1461" i="1"/>
  <c r="H1461" i="1"/>
  <c r="I1461" i="1"/>
  <c r="J1461" i="1"/>
  <c r="K1461" i="1"/>
  <c r="A1462" i="1"/>
  <c r="B1462" i="1"/>
  <c r="C1462" i="1"/>
  <c r="D1462" i="1"/>
  <c r="E1462" i="1"/>
  <c r="F1462" i="1"/>
  <c r="G1462" i="1"/>
  <c r="H1462" i="1"/>
  <c r="I1462" i="1"/>
  <c r="J1462" i="1"/>
  <c r="K1462" i="1"/>
  <c r="A1463" i="1"/>
  <c r="B1463" i="1"/>
  <c r="C1463" i="1"/>
  <c r="D1463" i="1"/>
  <c r="E1463" i="1"/>
  <c r="F1463" i="1"/>
  <c r="G1463" i="1"/>
  <c r="H1463" i="1"/>
  <c r="I1463" i="1"/>
  <c r="J1463" i="1"/>
  <c r="K1463" i="1"/>
  <c r="A1464" i="1"/>
  <c r="B1464" i="1"/>
  <c r="C1464" i="1"/>
  <c r="D1464" i="1"/>
  <c r="E1464" i="1"/>
  <c r="F1464" i="1"/>
  <c r="G1464" i="1"/>
  <c r="H1464" i="1"/>
  <c r="I1464" i="1"/>
  <c r="J1464" i="1"/>
  <c r="K1464" i="1"/>
  <c r="A1465" i="1"/>
  <c r="B1465" i="1"/>
  <c r="C1465" i="1"/>
  <c r="D1465" i="1"/>
  <c r="E1465" i="1"/>
  <c r="F1465" i="1"/>
  <c r="G1465" i="1"/>
  <c r="H1465" i="1"/>
  <c r="I1465" i="1"/>
  <c r="J1465" i="1"/>
  <c r="K1465" i="1"/>
  <c r="A1466" i="1"/>
  <c r="B1466" i="1"/>
  <c r="C1466" i="1"/>
  <c r="D1466" i="1"/>
  <c r="E1466" i="1"/>
  <c r="F1466" i="1"/>
  <c r="G1466" i="1"/>
  <c r="H1466" i="1"/>
  <c r="I1466" i="1"/>
  <c r="J1466" i="1"/>
  <c r="K1466" i="1"/>
  <c r="A1467" i="1"/>
  <c r="B1467" i="1"/>
  <c r="C1467" i="1"/>
  <c r="D1467" i="1"/>
  <c r="E1467" i="1"/>
  <c r="F1467" i="1"/>
  <c r="G1467" i="1"/>
  <c r="H1467" i="1"/>
  <c r="I1467" i="1"/>
  <c r="J1467" i="1"/>
  <c r="K1467" i="1"/>
  <c r="A1468" i="1"/>
  <c r="B1468" i="1"/>
  <c r="C1468" i="1"/>
  <c r="D1468" i="1"/>
  <c r="E1468" i="1"/>
  <c r="F1468" i="1"/>
  <c r="G1468" i="1"/>
  <c r="H1468" i="1"/>
  <c r="I1468" i="1"/>
  <c r="J1468" i="1"/>
  <c r="K1468" i="1"/>
  <c r="A1469" i="1"/>
  <c r="B1469" i="1"/>
  <c r="C1469" i="1"/>
  <c r="D1469" i="1"/>
  <c r="E1469" i="1"/>
  <c r="F1469" i="1"/>
  <c r="G1469" i="1"/>
  <c r="H1469" i="1"/>
  <c r="I1469" i="1"/>
  <c r="J1469" i="1"/>
  <c r="K1469" i="1"/>
  <c r="A1470" i="1"/>
  <c r="B1470" i="1"/>
  <c r="C1470" i="1"/>
  <c r="D1470" i="1"/>
  <c r="E1470" i="1"/>
  <c r="F1470" i="1"/>
  <c r="G1470" i="1"/>
  <c r="H1470" i="1"/>
  <c r="I1470" i="1"/>
  <c r="J1470" i="1"/>
  <c r="K1470" i="1"/>
  <c r="A1471" i="1"/>
  <c r="B1471" i="1"/>
  <c r="C1471" i="1"/>
  <c r="D1471" i="1"/>
  <c r="E1471" i="1"/>
  <c r="F1471" i="1"/>
  <c r="G1471" i="1"/>
  <c r="H1471" i="1"/>
  <c r="I1471" i="1"/>
  <c r="J1471" i="1"/>
  <c r="K1471" i="1"/>
  <c r="A1472" i="1"/>
  <c r="B1472" i="1"/>
  <c r="C1472" i="1"/>
  <c r="D1472" i="1"/>
  <c r="E1472" i="1"/>
  <c r="F1472" i="1"/>
  <c r="G1472" i="1"/>
  <c r="H1472" i="1"/>
  <c r="I1472" i="1"/>
  <c r="J1472" i="1"/>
  <c r="K1472" i="1"/>
  <c r="A1473" i="1"/>
  <c r="B1473" i="1"/>
  <c r="C1473" i="1"/>
  <c r="D1473" i="1"/>
  <c r="E1473" i="1"/>
  <c r="F1473" i="1"/>
  <c r="G1473" i="1"/>
  <c r="H1473" i="1"/>
  <c r="I1473" i="1"/>
  <c r="J1473" i="1"/>
  <c r="K1473" i="1"/>
  <c r="A1474" i="1"/>
  <c r="B1474" i="1"/>
  <c r="C1474" i="1"/>
  <c r="D1474" i="1"/>
  <c r="E1474" i="1"/>
  <c r="F1474" i="1"/>
  <c r="G1474" i="1"/>
  <c r="H1474" i="1"/>
  <c r="I1474" i="1"/>
  <c r="J1474" i="1"/>
  <c r="K1474" i="1"/>
  <c r="A1475" i="1"/>
  <c r="B1475" i="1"/>
  <c r="C1475" i="1"/>
  <c r="D1475" i="1"/>
  <c r="E1475" i="1"/>
  <c r="F1475" i="1"/>
  <c r="G1475" i="1"/>
  <c r="H1475" i="1"/>
  <c r="I1475" i="1"/>
  <c r="J1475" i="1"/>
  <c r="K1475" i="1"/>
  <c r="A1476" i="1"/>
  <c r="B1476" i="1"/>
  <c r="C1476" i="1"/>
  <c r="D1476" i="1"/>
  <c r="E1476" i="1"/>
  <c r="F1476" i="1"/>
  <c r="G1476" i="1"/>
  <c r="H1476" i="1"/>
  <c r="I1476" i="1"/>
  <c r="J1476" i="1"/>
  <c r="K1476" i="1"/>
  <c r="A1477" i="1"/>
  <c r="B1477" i="1"/>
  <c r="C1477" i="1"/>
  <c r="D1477" i="1"/>
  <c r="E1477" i="1"/>
  <c r="F1477" i="1"/>
  <c r="G1477" i="1"/>
  <c r="H1477" i="1"/>
  <c r="I1477" i="1"/>
  <c r="J1477" i="1"/>
  <c r="K1477" i="1"/>
  <c r="A1478" i="1"/>
  <c r="B1478" i="1"/>
  <c r="C1478" i="1"/>
  <c r="D1478" i="1"/>
  <c r="E1478" i="1"/>
  <c r="F1478" i="1"/>
  <c r="G1478" i="1"/>
  <c r="H1478" i="1"/>
  <c r="I1478" i="1"/>
  <c r="J1478" i="1"/>
  <c r="K1478" i="1"/>
  <c r="A1479" i="1"/>
  <c r="B1479" i="1"/>
  <c r="C1479" i="1"/>
  <c r="D1479" i="1"/>
  <c r="E1479" i="1"/>
  <c r="F1479" i="1"/>
  <c r="G1479" i="1"/>
  <c r="H1479" i="1"/>
  <c r="I1479" i="1"/>
  <c r="J1479" i="1"/>
  <c r="K1479" i="1"/>
  <c r="A1480" i="1"/>
  <c r="B1480" i="1"/>
  <c r="C1480" i="1"/>
  <c r="D1480" i="1"/>
  <c r="E1480" i="1"/>
  <c r="F1480" i="1"/>
  <c r="G1480" i="1"/>
  <c r="H1480" i="1"/>
  <c r="I1480" i="1"/>
  <c r="J1480" i="1"/>
  <c r="K1480" i="1"/>
  <c r="A1481" i="1"/>
  <c r="B1481" i="1"/>
  <c r="C1481" i="1"/>
  <c r="D1481" i="1"/>
  <c r="E1481" i="1"/>
  <c r="F1481" i="1"/>
  <c r="G1481" i="1"/>
  <c r="H1481" i="1"/>
  <c r="I1481" i="1"/>
  <c r="J1481" i="1"/>
  <c r="K1481" i="1"/>
  <c r="A1482" i="1"/>
  <c r="B1482" i="1"/>
  <c r="C1482" i="1"/>
  <c r="D1482" i="1"/>
  <c r="E1482" i="1"/>
  <c r="F1482" i="1"/>
  <c r="G1482" i="1"/>
  <c r="H1482" i="1"/>
  <c r="I1482" i="1"/>
  <c r="J1482" i="1"/>
  <c r="K1482" i="1"/>
  <c r="A1483" i="1"/>
  <c r="B1483" i="1"/>
  <c r="C1483" i="1"/>
  <c r="D1483" i="1"/>
  <c r="E1483" i="1"/>
  <c r="F1483" i="1"/>
  <c r="G1483" i="1"/>
  <c r="H1483" i="1"/>
  <c r="I1483" i="1"/>
  <c r="J1483" i="1"/>
  <c r="K1483" i="1"/>
  <c r="A1484" i="1"/>
  <c r="B1484" i="1"/>
  <c r="C1484" i="1"/>
  <c r="D1484" i="1"/>
  <c r="E1484" i="1"/>
  <c r="F1484" i="1"/>
  <c r="G1484" i="1"/>
  <c r="H1484" i="1"/>
  <c r="I1484" i="1"/>
  <c r="J1484" i="1"/>
  <c r="K1484" i="1"/>
  <c r="A1485" i="1"/>
  <c r="B1485" i="1"/>
  <c r="C1485" i="1"/>
  <c r="D1485" i="1"/>
  <c r="E1485" i="1"/>
  <c r="F1485" i="1"/>
  <c r="G1485" i="1"/>
  <c r="H1485" i="1"/>
  <c r="I1485" i="1"/>
  <c r="J1485" i="1"/>
  <c r="K1485" i="1"/>
  <c r="A1486" i="1"/>
  <c r="B1486" i="1"/>
  <c r="C1486" i="1"/>
  <c r="D1486" i="1"/>
  <c r="E1486" i="1"/>
  <c r="F1486" i="1"/>
  <c r="G1486" i="1"/>
  <c r="H1486" i="1"/>
  <c r="I1486" i="1"/>
  <c r="J1486" i="1"/>
  <c r="K1486" i="1"/>
  <c r="A1487" i="1"/>
  <c r="B1487" i="1"/>
  <c r="C1487" i="1"/>
  <c r="D1487" i="1"/>
  <c r="E1487" i="1"/>
  <c r="F1487" i="1"/>
  <c r="G1487" i="1"/>
  <c r="H1487" i="1"/>
  <c r="I1487" i="1"/>
  <c r="J1487" i="1"/>
  <c r="K1487" i="1"/>
  <c r="A1488" i="1"/>
  <c r="B1488" i="1"/>
  <c r="C1488" i="1"/>
  <c r="D1488" i="1"/>
  <c r="E1488" i="1"/>
  <c r="F1488" i="1"/>
  <c r="G1488" i="1"/>
  <c r="H1488" i="1"/>
  <c r="I1488" i="1"/>
  <c r="J1488" i="1"/>
  <c r="K1488" i="1"/>
  <c r="A1489" i="1"/>
  <c r="B1489" i="1"/>
  <c r="C1489" i="1"/>
  <c r="D1489" i="1"/>
  <c r="E1489" i="1"/>
  <c r="F1489" i="1"/>
  <c r="G1489" i="1"/>
  <c r="H1489" i="1"/>
  <c r="I1489" i="1"/>
  <c r="J1489" i="1"/>
  <c r="K1489" i="1"/>
  <c r="A1490" i="1"/>
  <c r="B1490" i="1"/>
  <c r="C1490" i="1"/>
  <c r="D1490" i="1"/>
  <c r="E1490" i="1"/>
  <c r="F1490" i="1"/>
  <c r="G1490" i="1"/>
  <c r="H1490" i="1"/>
  <c r="I1490" i="1"/>
  <c r="J1490" i="1"/>
  <c r="K1490" i="1"/>
  <c r="A1491" i="1"/>
  <c r="B1491" i="1"/>
  <c r="C1491" i="1"/>
  <c r="D1491" i="1"/>
  <c r="E1491" i="1"/>
  <c r="F1491" i="1"/>
  <c r="G1491" i="1"/>
  <c r="H1491" i="1"/>
  <c r="I1491" i="1"/>
  <c r="J1491" i="1"/>
  <c r="K1491" i="1"/>
  <c r="A1492" i="1"/>
  <c r="B1492" i="1"/>
  <c r="C1492" i="1"/>
  <c r="D1492" i="1"/>
  <c r="E1492" i="1"/>
  <c r="F1492" i="1"/>
  <c r="G1492" i="1"/>
  <c r="H1492" i="1"/>
  <c r="I1492" i="1"/>
  <c r="J1492" i="1"/>
  <c r="K1492" i="1"/>
  <c r="A1493" i="1"/>
  <c r="B1493" i="1"/>
  <c r="C1493" i="1"/>
  <c r="D1493" i="1"/>
  <c r="E1493" i="1"/>
  <c r="F1493" i="1"/>
  <c r="G1493" i="1"/>
  <c r="H1493" i="1"/>
  <c r="I1493" i="1"/>
  <c r="J1493" i="1"/>
  <c r="K1493" i="1"/>
  <c r="A1494" i="1"/>
  <c r="B1494" i="1"/>
  <c r="C1494" i="1"/>
  <c r="D1494" i="1"/>
  <c r="E1494" i="1"/>
  <c r="F1494" i="1"/>
  <c r="G1494" i="1"/>
  <c r="H1494" i="1"/>
  <c r="I1494" i="1"/>
  <c r="J1494" i="1"/>
  <c r="K1494" i="1"/>
  <c r="A1495" i="1"/>
  <c r="B1495" i="1"/>
  <c r="C1495" i="1"/>
  <c r="D1495" i="1"/>
  <c r="E1495" i="1"/>
  <c r="F1495" i="1"/>
  <c r="G1495" i="1"/>
  <c r="H1495" i="1"/>
  <c r="I1495" i="1"/>
  <c r="J1495" i="1"/>
  <c r="K1495" i="1"/>
  <c r="A1496" i="1"/>
  <c r="B1496" i="1"/>
  <c r="C1496" i="1"/>
  <c r="D1496" i="1"/>
  <c r="E1496" i="1"/>
  <c r="F1496" i="1"/>
  <c r="G1496" i="1"/>
  <c r="H1496" i="1"/>
  <c r="I1496" i="1"/>
  <c r="J1496" i="1"/>
  <c r="K1496" i="1"/>
  <c r="A1497" i="1"/>
  <c r="B1497" i="1"/>
  <c r="C1497" i="1"/>
  <c r="D1497" i="1"/>
  <c r="E1497" i="1"/>
  <c r="F1497" i="1"/>
  <c r="G1497" i="1"/>
  <c r="H1497" i="1"/>
  <c r="I1497" i="1"/>
  <c r="J1497" i="1"/>
  <c r="K1497" i="1"/>
  <c r="A1498" i="1"/>
  <c r="B1498" i="1"/>
  <c r="C1498" i="1"/>
  <c r="D1498" i="1"/>
  <c r="E1498" i="1"/>
  <c r="F1498" i="1"/>
  <c r="G1498" i="1"/>
  <c r="H1498" i="1"/>
  <c r="I1498" i="1"/>
  <c r="J1498" i="1"/>
  <c r="K1498" i="1"/>
  <c r="A1499" i="1"/>
  <c r="B1499" i="1"/>
  <c r="C1499" i="1"/>
  <c r="D1499" i="1"/>
  <c r="E1499" i="1"/>
  <c r="F1499" i="1"/>
  <c r="G1499" i="1"/>
  <c r="H1499" i="1"/>
  <c r="I1499" i="1"/>
  <c r="J1499" i="1"/>
  <c r="K1499" i="1"/>
  <c r="A1500" i="1"/>
  <c r="B1500" i="1"/>
  <c r="C1500" i="1"/>
  <c r="D1500" i="1"/>
  <c r="E1500" i="1"/>
  <c r="F1500" i="1"/>
  <c r="G1500" i="1"/>
  <c r="H1500" i="1"/>
  <c r="I1500" i="1"/>
  <c r="J1500" i="1"/>
  <c r="K1500" i="1"/>
  <c r="A1501" i="1"/>
  <c r="B1501" i="1"/>
  <c r="C1501" i="1"/>
  <c r="D1501" i="1"/>
  <c r="E1501" i="1"/>
  <c r="F1501" i="1"/>
  <c r="G1501" i="1"/>
  <c r="H1501" i="1"/>
  <c r="I1501" i="1"/>
  <c r="J1501" i="1"/>
  <c r="K1501" i="1"/>
  <c r="A1502" i="1"/>
  <c r="B1502" i="1"/>
  <c r="C1502" i="1"/>
  <c r="D1502" i="1"/>
  <c r="E1502" i="1"/>
  <c r="F1502" i="1"/>
  <c r="G1502" i="1"/>
  <c r="H1502" i="1"/>
  <c r="I1502" i="1"/>
  <c r="J1502" i="1"/>
  <c r="K1502" i="1"/>
  <c r="A1503" i="1"/>
  <c r="B1503" i="1"/>
  <c r="C1503" i="1"/>
  <c r="D1503" i="1"/>
  <c r="E1503" i="1"/>
  <c r="F1503" i="1"/>
  <c r="G1503" i="1"/>
  <c r="H1503" i="1"/>
  <c r="I1503" i="1"/>
  <c r="J1503" i="1"/>
  <c r="K1503" i="1"/>
  <c r="A1504" i="1"/>
  <c r="B1504" i="1"/>
  <c r="C1504" i="1"/>
  <c r="D1504" i="1"/>
  <c r="E1504" i="1"/>
  <c r="F1504" i="1"/>
  <c r="G1504" i="1"/>
  <c r="H1504" i="1"/>
  <c r="I1504" i="1"/>
  <c r="J1504" i="1"/>
  <c r="K1504" i="1"/>
  <c r="A1505" i="1"/>
  <c r="B1505" i="1"/>
  <c r="C1505" i="1"/>
  <c r="D1505" i="1"/>
  <c r="E1505" i="1"/>
  <c r="F1505" i="1"/>
  <c r="G1505" i="1"/>
  <c r="H1505" i="1"/>
  <c r="I1505" i="1"/>
  <c r="J1505" i="1"/>
  <c r="K1505" i="1"/>
  <c r="A1506" i="1"/>
  <c r="B1506" i="1"/>
  <c r="C1506" i="1"/>
  <c r="D1506" i="1"/>
  <c r="E1506" i="1"/>
  <c r="F1506" i="1"/>
  <c r="G1506" i="1"/>
  <c r="H1506" i="1"/>
  <c r="I1506" i="1"/>
  <c r="J1506" i="1"/>
  <c r="K1506" i="1"/>
  <c r="A1507" i="1"/>
  <c r="B1507" i="1"/>
  <c r="C1507" i="1"/>
  <c r="D1507" i="1"/>
  <c r="E1507" i="1"/>
  <c r="F1507" i="1"/>
  <c r="G1507" i="1"/>
  <c r="H1507" i="1"/>
  <c r="I1507" i="1"/>
  <c r="J1507" i="1"/>
  <c r="K1507" i="1"/>
  <c r="A1508" i="1"/>
  <c r="B1508" i="1"/>
  <c r="C1508" i="1"/>
  <c r="D1508" i="1"/>
  <c r="E1508" i="1"/>
  <c r="F1508" i="1"/>
  <c r="G1508" i="1"/>
  <c r="H1508" i="1"/>
  <c r="I1508" i="1"/>
  <c r="J1508" i="1"/>
  <c r="K1508" i="1"/>
  <c r="A1509" i="1"/>
  <c r="B1509" i="1"/>
  <c r="C1509" i="1"/>
  <c r="D1509" i="1"/>
  <c r="E1509" i="1"/>
  <c r="F1509" i="1"/>
  <c r="G1509" i="1"/>
  <c r="H1509" i="1"/>
  <c r="I1509" i="1"/>
  <c r="J1509" i="1"/>
  <c r="K1509" i="1"/>
  <c r="A1510" i="1"/>
  <c r="B1510" i="1"/>
  <c r="C1510" i="1"/>
  <c r="D1510" i="1"/>
  <c r="E1510" i="1"/>
  <c r="F1510" i="1"/>
  <c r="G1510" i="1"/>
  <c r="H1510" i="1"/>
  <c r="I1510" i="1"/>
  <c r="J1510" i="1"/>
  <c r="K1510" i="1"/>
  <c r="A1511" i="1"/>
  <c r="B1511" i="1"/>
  <c r="C1511" i="1"/>
  <c r="D1511" i="1"/>
  <c r="E1511" i="1"/>
  <c r="F1511" i="1"/>
  <c r="G1511" i="1"/>
  <c r="H1511" i="1"/>
  <c r="I1511" i="1"/>
  <c r="J1511" i="1"/>
  <c r="K1511" i="1"/>
  <c r="A1512" i="1"/>
  <c r="B1512" i="1"/>
  <c r="C1512" i="1"/>
  <c r="D1512" i="1"/>
  <c r="E1512" i="1"/>
  <c r="F1512" i="1"/>
  <c r="G1512" i="1"/>
  <c r="H1512" i="1"/>
  <c r="I1512" i="1"/>
  <c r="J1512" i="1"/>
  <c r="K1512" i="1"/>
  <c r="A1513" i="1"/>
  <c r="B1513" i="1"/>
  <c r="C1513" i="1"/>
  <c r="D1513" i="1"/>
  <c r="E1513" i="1"/>
  <c r="F1513" i="1"/>
  <c r="G1513" i="1"/>
  <c r="H1513" i="1"/>
  <c r="I1513" i="1"/>
  <c r="J1513" i="1"/>
  <c r="K1513" i="1"/>
  <c r="A1514" i="1"/>
  <c r="B1514" i="1"/>
  <c r="C1514" i="1"/>
  <c r="D1514" i="1"/>
  <c r="E1514" i="1"/>
  <c r="F1514" i="1"/>
  <c r="G1514" i="1"/>
  <c r="H1514" i="1"/>
  <c r="I1514" i="1"/>
  <c r="J1514" i="1"/>
  <c r="K1514" i="1"/>
  <c r="A1515" i="1"/>
  <c r="B1515" i="1"/>
  <c r="C1515" i="1"/>
  <c r="D1515" i="1"/>
  <c r="E1515" i="1"/>
  <c r="F1515" i="1"/>
  <c r="G1515" i="1"/>
  <c r="H1515" i="1"/>
  <c r="I1515" i="1"/>
  <c r="J1515" i="1"/>
  <c r="K1515" i="1"/>
  <c r="A1516" i="1"/>
  <c r="B1516" i="1"/>
  <c r="C1516" i="1"/>
  <c r="D1516" i="1"/>
  <c r="E1516" i="1"/>
  <c r="F1516" i="1"/>
  <c r="G1516" i="1"/>
  <c r="H1516" i="1"/>
  <c r="I1516" i="1"/>
  <c r="J1516" i="1"/>
  <c r="K1516" i="1"/>
  <c r="A1517" i="1"/>
  <c r="B1517" i="1"/>
  <c r="C1517" i="1"/>
  <c r="D1517" i="1"/>
  <c r="E1517" i="1"/>
  <c r="F1517" i="1"/>
  <c r="G1517" i="1"/>
  <c r="H1517" i="1"/>
  <c r="I1517" i="1"/>
  <c r="J1517" i="1"/>
  <c r="K1517" i="1"/>
  <c r="A1518" i="1"/>
  <c r="B1518" i="1"/>
  <c r="C1518" i="1"/>
  <c r="D1518" i="1"/>
  <c r="E1518" i="1"/>
  <c r="F1518" i="1"/>
  <c r="G1518" i="1"/>
  <c r="H1518" i="1"/>
  <c r="I1518" i="1"/>
  <c r="J1518" i="1"/>
  <c r="K1518" i="1"/>
  <c r="A1519" i="1"/>
  <c r="B1519" i="1"/>
  <c r="C1519" i="1"/>
  <c r="D1519" i="1"/>
  <c r="E1519" i="1"/>
  <c r="F1519" i="1"/>
  <c r="G1519" i="1"/>
  <c r="H1519" i="1"/>
  <c r="I1519" i="1"/>
  <c r="J1519" i="1"/>
  <c r="K1519" i="1"/>
  <c r="A1520" i="1"/>
  <c r="B1520" i="1"/>
  <c r="C1520" i="1"/>
  <c r="D1520" i="1"/>
  <c r="E1520" i="1"/>
  <c r="F1520" i="1"/>
  <c r="G1520" i="1"/>
  <c r="H1520" i="1"/>
  <c r="I1520" i="1"/>
  <c r="J1520" i="1"/>
  <c r="K1520" i="1"/>
  <c r="A1521" i="1"/>
  <c r="B1521" i="1"/>
  <c r="C1521" i="1"/>
  <c r="D1521" i="1"/>
  <c r="E1521" i="1"/>
  <c r="F1521" i="1"/>
  <c r="G1521" i="1"/>
  <c r="H1521" i="1"/>
  <c r="I1521" i="1"/>
  <c r="J1521" i="1"/>
  <c r="K1521" i="1"/>
  <c r="A1522" i="1"/>
  <c r="B1522" i="1"/>
  <c r="C1522" i="1"/>
  <c r="D1522" i="1"/>
  <c r="E1522" i="1"/>
  <c r="F1522" i="1"/>
  <c r="G1522" i="1"/>
  <c r="H1522" i="1"/>
  <c r="I1522" i="1"/>
  <c r="J1522" i="1"/>
  <c r="K1522" i="1"/>
  <c r="A1523" i="1"/>
  <c r="B1523" i="1"/>
  <c r="C1523" i="1"/>
  <c r="D1523" i="1"/>
  <c r="E1523" i="1"/>
  <c r="F1523" i="1"/>
  <c r="G1523" i="1"/>
  <c r="H1523" i="1"/>
  <c r="I1523" i="1"/>
  <c r="J1523" i="1"/>
  <c r="K1523" i="1"/>
  <c r="A1524" i="1"/>
  <c r="B1524" i="1"/>
  <c r="C1524" i="1"/>
  <c r="D1524" i="1"/>
  <c r="E1524" i="1"/>
  <c r="F1524" i="1"/>
  <c r="G1524" i="1"/>
  <c r="H1524" i="1"/>
  <c r="I1524" i="1"/>
  <c r="J1524" i="1"/>
  <c r="K1524" i="1"/>
  <c r="A1525" i="1"/>
  <c r="B1525" i="1"/>
  <c r="C1525" i="1"/>
  <c r="D1525" i="1"/>
  <c r="E1525" i="1"/>
  <c r="F1525" i="1"/>
  <c r="G1525" i="1"/>
  <c r="H1525" i="1"/>
  <c r="I1525" i="1"/>
  <c r="J1525" i="1"/>
  <c r="K1525" i="1"/>
  <c r="A1526" i="1"/>
  <c r="B1526" i="1"/>
  <c r="C1526" i="1"/>
  <c r="D1526" i="1"/>
  <c r="E1526" i="1"/>
  <c r="F1526" i="1"/>
  <c r="G1526" i="1"/>
  <c r="H1526" i="1"/>
  <c r="I1526" i="1"/>
  <c r="J1526" i="1"/>
  <c r="K1526" i="1"/>
  <c r="A1527" i="1"/>
  <c r="B1527" i="1"/>
  <c r="C1527" i="1"/>
  <c r="D1527" i="1"/>
  <c r="E1527" i="1"/>
  <c r="F1527" i="1"/>
  <c r="G1527" i="1"/>
  <c r="H1527" i="1"/>
  <c r="I1527" i="1"/>
  <c r="J1527" i="1"/>
  <c r="K1527" i="1"/>
  <c r="A1528" i="1"/>
  <c r="B1528" i="1"/>
  <c r="C1528" i="1"/>
  <c r="D1528" i="1"/>
  <c r="E1528" i="1"/>
  <c r="F1528" i="1"/>
  <c r="G1528" i="1"/>
  <c r="H1528" i="1"/>
  <c r="I1528" i="1"/>
  <c r="J1528" i="1"/>
  <c r="K1528" i="1"/>
  <c r="A1529" i="1"/>
  <c r="B1529" i="1"/>
  <c r="C1529" i="1"/>
  <c r="D1529" i="1"/>
  <c r="E1529" i="1"/>
  <c r="F1529" i="1"/>
  <c r="G1529" i="1"/>
  <c r="H1529" i="1"/>
  <c r="I1529" i="1"/>
  <c r="J1529" i="1"/>
  <c r="K1529" i="1"/>
  <c r="A1530" i="1"/>
  <c r="B1530" i="1"/>
  <c r="C1530" i="1"/>
  <c r="D1530" i="1"/>
  <c r="E1530" i="1"/>
  <c r="F1530" i="1"/>
  <c r="G1530" i="1"/>
  <c r="H1530" i="1"/>
  <c r="I1530" i="1"/>
  <c r="J1530" i="1"/>
  <c r="K1530" i="1"/>
  <c r="A1531" i="1"/>
  <c r="B1531" i="1"/>
  <c r="C1531" i="1"/>
  <c r="D1531" i="1"/>
  <c r="E1531" i="1"/>
  <c r="F1531" i="1"/>
  <c r="G1531" i="1"/>
  <c r="H1531" i="1"/>
  <c r="I1531" i="1"/>
  <c r="J1531" i="1"/>
  <c r="K1531" i="1"/>
  <c r="A1532" i="1"/>
  <c r="B1532" i="1"/>
  <c r="C1532" i="1"/>
  <c r="D1532" i="1"/>
  <c r="E1532" i="1"/>
  <c r="F1532" i="1"/>
  <c r="G1532" i="1"/>
  <c r="H1532" i="1"/>
  <c r="I1532" i="1"/>
  <c r="J1532" i="1"/>
  <c r="K1532" i="1"/>
  <c r="A1533" i="1"/>
  <c r="B1533" i="1"/>
  <c r="C1533" i="1"/>
  <c r="D1533" i="1"/>
  <c r="E1533" i="1"/>
  <c r="F1533" i="1"/>
  <c r="G1533" i="1"/>
  <c r="H1533" i="1"/>
  <c r="I1533" i="1"/>
  <c r="J1533" i="1"/>
  <c r="K1533" i="1"/>
  <c r="A1534" i="1"/>
  <c r="B1534" i="1"/>
  <c r="C1534" i="1"/>
  <c r="D1534" i="1"/>
  <c r="E1534" i="1"/>
  <c r="F1534" i="1"/>
  <c r="G1534" i="1"/>
  <c r="H1534" i="1"/>
  <c r="I1534" i="1"/>
  <c r="J1534" i="1"/>
  <c r="K1534" i="1"/>
  <c r="A1535" i="1"/>
  <c r="B1535" i="1"/>
  <c r="C1535" i="1"/>
  <c r="D1535" i="1"/>
  <c r="E1535" i="1"/>
  <c r="F1535" i="1"/>
  <c r="G1535" i="1"/>
  <c r="H1535" i="1"/>
  <c r="I1535" i="1"/>
  <c r="J1535" i="1"/>
  <c r="K1535" i="1"/>
  <c r="A1536" i="1"/>
  <c r="B1536" i="1"/>
  <c r="C1536" i="1"/>
  <c r="D1536" i="1"/>
  <c r="E1536" i="1"/>
  <c r="F1536" i="1"/>
  <c r="G1536" i="1"/>
  <c r="H1536" i="1"/>
  <c r="I1536" i="1"/>
  <c r="J1536" i="1"/>
  <c r="K1536" i="1"/>
  <c r="A1537" i="1"/>
  <c r="B1537" i="1"/>
  <c r="C1537" i="1"/>
  <c r="D1537" i="1"/>
  <c r="E1537" i="1"/>
  <c r="F1537" i="1"/>
  <c r="G1537" i="1"/>
  <c r="H1537" i="1"/>
  <c r="I1537" i="1"/>
  <c r="J1537" i="1"/>
  <c r="K1537" i="1"/>
  <c r="A1538" i="1"/>
  <c r="B1538" i="1"/>
  <c r="C1538" i="1"/>
  <c r="D1538" i="1"/>
  <c r="E1538" i="1"/>
  <c r="F1538" i="1"/>
  <c r="G1538" i="1"/>
  <c r="H1538" i="1"/>
  <c r="I1538" i="1"/>
  <c r="J1538" i="1"/>
  <c r="K1538" i="1"/>
  <c r="A1539" i="1"/>
  <c r="B1539" i="1"/>
  <c r="C1539" i="1"/>
  <c r="D1539" i="1"/>
  <c r="E1539" i="1"/>
  <c r="F1539" i="1"/>
  <c r="G1539" i="1"/>
  <c r="H1539" i="1"/>
  <c r="I1539" i="1"/>
  <c r="J1539" i="1"/>
  <c r="K1539" i="1"/>
  <c r="A1540" i="1"/>
  <c r="B1540" i="1"/>
  <c r="C1540" i="1"/>
  <c r="D1540" i="1"/>
  <c r="E1540" i="1"/>
  <c r="F1540" i="1"/>
  <c r="G1540" i="1"/>
  <c r="H1540" i="1"/>
  <c r="I1540" i="1"/>
  <c r="J1540" i="1"/>
  <c r="K1540" i="1"/>
  <c r="A1541" i="1"/>
  <c r="B1541" i="1"/>
  <c r="C1541" i="1"/>
  <c r="D1541" i="1"/>
  <c r="E1541" i="1"/>
  <c r="F1541" i="1"/>
  <c r="G1541" i="1"/>
  <c r="H1541" i="1"/>
  <c r="I1541" i="1"/>
  <c r="J1541" i="1"/>
  <c r="K1541" i="1"/>
  <c r="A1542" i="1"/>
  <c r="B1542" i="1"/>
  <c r="C1542" i="1"/>
  <c r="D1542" i="1"/>
  <c r="E1542" i="1"/>
  <c r="F1542" i="1"/>
  <c r="G1542" i="1"/>
  <c r="H1542" i="1"/>
  <c r="I1542" i="1"/>
  <c r="J1542" i="1"/>
  <c r="K1542" i="1"/>
  <c r="A1543" i="1"/>
  <c r="B1543" i="1"/>
  <c r="C1543" i="1"/>
  <c r="D1543" i="1"/>
  <c r="E1543" i="1"/>
  <c r="F1543" i="1"/>
  <c r="G1543" i="1"/>
  <c r="H1543" i="1"/>
  <c r="I1543" i="1"/>
  <c r="J1543" i="1"/>
  <c r="K1543" i="1"/>
  <c r="A1544" i="1"/>
  <c r="B1544" i="1"/>
  <c r="C1544" i="1"/>
  <c r="D1544" i="1"/>
  <c r="E1544" i="1"/>
  <c r="F1544" i="1"/>
  <c r="G1544" i="1"/>
  <c r="H1544" i="1"/>
  <c r="I1544" i="1"/>
  <c r="J1544" i="1"/>
  <c r="K1544" i="1"/>
  <c r="A1545" i="1"/>
  <c r="B1545" i="1"/>
  <c r="C1545" i="1"/>
  <c r="D1545" i="1"/>
  <c r="E1545" i="1"/>
  <c r="F1545" i="1"/>
  <c r="G1545" i="1"/>
  <c r="H1545" i="1"/>
  <c r="I1545" i="1"/>
  <c r="J1545" i="1"/>
  <c r="K1545" i="1"/>
  <c r="A1546" i="1"/>
  <c r="B1546" i="1"/>
  <c r="C1546" i="1"/>
  <c r="D1546" i="1"/>
  <c r="E1546" i="1"/>
  <c r="F1546" i="1"/>
  <c r="G1546" i="1"/>
  <c r="H1546" i="1"/>
  <c r="I1546" i="1"/>
  <c r="J1546" i="1"/>
  <c r="K1546" i="1"/>
  <c r="A1547" i="1"/>
  <c r="B1547" i="1"/>
  <c r="C1547" i="1"/>
  <c r="D1547" i="1"/>
  <c r="E1547" i="1"/>
  <c r="F1547" i="1"/>
  <c r="G1547" i="1"/>
  <c r="H1547" i="1"/>
  <c r="I1547" i="1"/>
  <c r="J1547" i="1"/>
  <c r="K1547" i="1"/>
  <c r="A1548" i="1"/>
  <c r="B1548" i="1"/>
  <c r="C1548" i="1"/>
  <c r="D1548" i="1"/>
  <c r="E1548" i="1"/>
  <c r="F1548" i="1"/>
  <c r="G1548" i="1"/>
  <c r="H1548" i="1"/>
  <c r="I1548" i="1"/>
  <c r="J1548" i="1"/>
  <c r="K1548" i="1"/>
  <c r="A1549" i="1"/>
  <c r="B1549" i="1"/>
  <c r="C1549" i="1"/>
  <c r="D1549" i="1"/>
  <c r="E1549" i="1"/>
  <c r="F1549" i="1"/>
  <c r="G1549" i="1"/>
  <c r="H1549" i="1"/>
  <c r="I1549" i="1"/>
  <c r="J1549" i="1"/>
  <c r="K1549" i="1"/>
  <c r="A1550" i="1"/>
  <c r="B1550" i="1"/>
  <c r="C1550" i="1"/>
  <c r="D1550" i="1"/>
  <c r="E1550" i="1"/>
  <c r="F1550" i="1"/>
  <c r="G1550" i="1"/>
  <c r="H1550" i="1"/>
  <c r="I1550" i="1"/>
  <c r="J1550" i="1"/>
  <c r="K1550" i="1"/>
  <c r="A1551" i="1"/>
  <c r="B1551" i="1"/>
  <c r="C1551" i="1"/>
  <c r="D1551" i="1"/>
  <c r="E1551" i="1"/>
  <c r="F1551" i="1"/>
  <c r="G1551" i="1"/>
  <c r="H1551" i="1"/>
  <c r="I1551" i="1"/>
  <c r="J1551" i="1"/>
  <c r="K1551" i="1"/>
  <c r="A1552" i="1"/>
  <c r="B1552" i="1"/>
  <c r="C1552" i="1"/>
  <c r="D1552" i="1"/>
  <c r="E1552" i="1"/>
  <c r="F1552" i="1"/>
  <c r="G1552" i="1"/>
  <c r="H1552" i="1"/>
  <c r="I1552" i="1"/>
  <c r="J1552" i="1"/>
  <c r="K1552" i="1"/>
  <c r="A1553" i="1"/>
  <c r="B1553" i="1"/>
  <c r="C1553" i="1"/>
  <c r="D1553" i="1"/>
  <c r="E1553" i="1"/>
  <c r="F1553" i="1"/>
  <c r="G1553" i="1"/>
  <c r="H1553" i="1"/>
  <c r="I1553" i="1"/>
  <c r="J1553" i="1"/>
  <c r="K1553" i="1"/>
  <c r="A1554" i="1"/>
  <c r="B1554" i="1"/>
  <c r="C1554" i="1"/>
  <c r="D1554" i="1"/>
  <c r="E1554" i="1"/>
  <c r="F1554" i="1"/>
  <c r="G1554" i="1"/>
  <c r="H1554" i="1"/>
  <c r="I1554" i="1"/>
  <c r="J1554" i="1"/>
  <c r="K1554" i="1"/>
  <c r="A1555" i="1"/>
  <c r="B1555" i="1"/>
  <c r="C1555" i="1"/>
  <c r="D1555" i="1"/>
  <c r="E1555" i="1"/>
  <c r="F1555" i="1"/>
  <c r="G1555" i="1"/>
  <c r="H1555" i="1"/>
  <c r="I1555" i="1"/>
  <c r="J1555" i="1"/>
  <c r="K1555" i="1"/>
  <c r="A1556" i="1"/>
  <c r="B1556" i="1"/>
  <c r="C1556" i="1"/>
  <c r="D1556" i="1"/>
  <c r="E1556" i="1"/>
  <c r="F1556" i="1"/>
  <c r="G1556" i="1"/>
  <c r="H1556" i="1"/>
  <c r="I1556" i="1"/>
  <c r="J1556" i="1"/>
  <c r="K1556" i="1"/>
  <c r="A1557" i="1"/>
  <c r="B1557" i="1"/>
  <c r="C1557" i="1"/>
  <c r="D1557" i="1"/>
  <c r="E1557" i="1"/>
  <c r="F1557" i="1"/>
  <c r="G1557" i="1"/>
  <c r="H1557" i="1"/>
  <c r="I1557" i="1"/>
  <c r="J1557" i="1"/>
  <c r="K1557" i="1"/>
  <c r="A1558" i="1"/>
  <c r="B1558" i="1"/>
  <c r="C1558" i="1"/>
  <c r="D1558" i="1"/>
  <c r="E1558" i="1"/>
  <c r="F1558" i="1"/>
  <c r="G1558" i="1"/>
  <c r="H1558" i="1"/>
  <c r="I1558" i="1"/>
  <c r="J1558" i="1"/>
  <c r="K1558" i="1"/>
  <c r="A1559" i="1"/>
  <c r="B1559" i="1"/>
  <c r="C1559" i="1"/>
  <c r="D1559" i="1"/>
  <c r="E1559" i="1"/>
  <c r="F1559" i="1"/>
  <c r="G1559" i="1"/>
  <c r="H1559" i="1"/>
  <c r="I1559" i="1"/>
  <c r="J1559" i="1"/>
  <c r="K1559" i="1"/>
  <c r="A1560" i="1"/>
  <c r="B1560" i="1"/>
  <c r="C1560" i="1"/>
  <c r="D1560" i="1"/>
  <c r="E1560" i="1"/>
  <c r="F1560" i="1"/>
  <c r="G1560" i="1"/>
  <c r="H1560" i="1"/>
  <c r="I1560" i="1"/>
  <c r="J1560" i="1"/>
  <c r="K1560" i="1"/>
  <c r="A1561" i="1"/>
  <c r="B1561" i="1"/>
  <c r="C1561" i="1"/>
  <c r="D1561" i="1"/>
  <c r="E1561" i="1"/>
  <c r="F1561" i="1"/>
  <c r="G1561" i="1"/>
  <c r="H1561" i="1"/>
  <c r="I1561" i="1"/>
  <c r="J1561" i="1"/>
  <c r="K1561" i="1"/>
  <c r="A1562" i="1"/>
  <c r="B1562" i="1"/>
  <c r="C1562" i="1"/>
  <c r="D1562" i="1"/>
  <c r="E1562" i="1"/>
  <c r="F1562" i="1"/>
  <c r="G1562" i="1"/>
  <c r="H1562" i="1"/>
  <c r="I1562" i="1"/>
  <c r="J1562" i="1"/>
  <c r="K1562" i="1"/>
  <c r="A1563" i="1"/>
  <c r="B1563" i="1"/>
  <c r="C1563" i="1"/>
  <c r="D1563" i="1"/>
  <c r="E1563" i="1"/>
  <c r="F1563" i="1"/>
  <c r="G1563" i="1"/>
  <c r="H1563" i="1"/>
  <c r="I1563" i="1"/>
  <c r="J1563" i="1"/>
  <c r="K1563" i="1"/>
  <c r="A1564" i="1"/>
  <c r="B1564" i="1"/>
  <c r="C1564" i="1"/>
  <c r="D1564" i="1"/>
  <c r="E1564" i="1"/>
  <c r="F1564" i="1"/>
  <c r="G1564" i="1"/>
  <c r="H1564" i="1"/>
  <c r="I1564" i="1"/>
  <c r="J1564" i="1"/>
  <c r="K1564" i="1"/>
  <c r="A1565" i="1"/>
  <c r="B1565" i="1"/>
  <c r="C1565" i="1"/>
  <c r="D1565" i="1"/>
  <c r="E1565" i="1"/>
  <c r="F1565" i="1"/>
  <c r="G1565" i="1"/>
  <c r="H1565" i="1"/>
  <c r="I1565" i="1"/>
  <c r="J1565" i="1"/>
  <c r="K1565" i="1"/>
  <c r="A1566" i="1"/>
  <c r="B1566" i="1"/>
  <c r="C1566" i="1"/>
  <c r="D1566" i="1"/>
  <c r="E1566" i="1"/>
  <c r="F1566" i="1"/>
  <c r="G1566" i="1"/>
  <c r="H1566" i="1"/>
  <c r="I1566" i="1"/>
  <c r="J1566" i="1"/>
  <c r="K1566" i="1"/>
  <c r="A1567" i="1"/>
  <c r="B1567" i="1"/>
  <c r="C1567" i="1"/>
  <c r="D1567" i="1"/>
  <c r="E1567" i="1"/>
  <c r="F1567" i="1"/>
  <c r="G1567" i="1"/>
  <c r="H1567" i="1"/>
  <c r="I1567" i="1"/>
  <c r="J1567" i="1"/>
  <c r="K1567" i="1"/>
  <c r="A1568" i="1"/>
  <c r="B1568" i="1"/>
  <c r="C1568" i="1"/>
  <c r="D1568" i="1"/>
  <c r="E1568" i="1"/>
  <c r="F1568" i="1"/>
  <c r="G1568" i="1"/>
  <c r="H1568" i="1"/>
  <c r="I1568" i="1"/>
  <c r="J1568" i="1"/>
  <c r="K1568" i="1"/>
  <c r="A1569" i="1"/>
  <c r="B1569" i="1"/>
  <c r="C1569" i="1"/>
  <c r="D1569" i="1"/>
  <c r="E1569" i="1"/>
  <c r="F1569" i="1"/>
  <c r="G1569" i="1"/>
  <c r="H1569" i="1"/>
  <c r="I1569" i="1"/>
  <c r="J1569" i="1"/>
  <c r="K1569" i="1"/>
  <c r="A1570" i="1"/>
  <c r="B1570" i="1"/>
  <c r="C1570" i="1"/>
  <c r="D1570" i="1"/>
  <c r="E1570" i="1"/>
  <c r="F1570" i="1"/>
  <c r="G1570" i="1"/>
  <c r="H1570" i="1"/>
  <c r="I1570" i="1"/>
  <c r="J1570" i="1"/>
  <c r="K1570" i="1"/>
  <c r="A1571" i="1"/>
  <c r="B1571" i="1"/>
  <c r="C1571" i="1"/>
  <c r="D1571" i="1"/>
  <c r="E1571" i="1"/>
  <c r="F1571" i="1"/>
  <c r="G1571" i="1"/>
  <c r="H1571" i="1"/>
  <c r="I1571" i="1"/>
  <c r="J1571" i="1"/>
  <c r="K1571" i="1"/>
  <c r="A1572" i="1"/>
  <c r="B1572" i="1"/>
  <c r="C1572" i="1"/>
  <c r="D1572" i="1"/>
  <c r="E1572" i="1"/>
  <c r="F1572" i="1"/>
  <c r="G1572" i="1"/>
  <c r="H1572" i="1"/>
  <c r="I1572" i="1"/>
  <c r="J1572" i="1"/>
  <c r="K1572" i="1"/>
  <c r="A1573" i="1"/>
  <c r="B1573" i="1"/>
  <c r="C1573" i="1"/>
  <c r="D1573" i="1"/>
  <c r="E1573" i="1"/>
  <c r="F1573" i="1"/>
  <c r="G1573" i="1"/>
  <c r="H1573" i="1"/>
  <c r="I1573" i="1"/>
  <c r="J1573" i="1"/>
  <c r="K1573" i="1"/>
  <c r="A1574" i="1"/>
  <c r="B1574" i="1"/>
  <c r="C1574" i="1"/>
  <c r="D1574" i="1"/>
  <c r="E1574" i="1"/>
  <c r="F1574" i="1"/>
  <c r="G1574" i="1"/>
  <c r="H1574" i="1"/>
  <c r="I1574" i="1"/>
  <c r="J1574" i="1"/>
  <c r="K1574" i="1"/>
  <c r="A1575" i="1"/>
  <c r="B1575" i="1"/>
  <c r="C1575" i="1"/>
  <c r="D1575" i="1"/>
  <c r="E1575" i="1"/>
  <c r="F1575" i="1"/>
  <c r="G1575" i="1"/>
  <c r="H1575" i="1"/>
  <c r="I1575" i="1"/>
  <c r="J1575" i="1"/>
  <c r="K1575" i="1"/>
  <c r="A1576" i="1"/>
  <c r="B1576" i="1"/>
  <c r="C1576" i="1"/>
  <c r="D1576" i="1"/>
  <c r="E1576" i="1"/>
  <c r="F1576" i="1"/>
  <c r="G1576" i="1"/>
  <c r="H1576" i="1"/>
  <c r="I1576" i="1"/>
  <c r="J1576" i="1"/>
  <c r="K1576" i="1"/>
  <c r="A1577" i="1"/>
  <c r="B1577" i="1"/>
  <c r="C1577" i="1"/>
  <c r="D1577" i="1"/>
  <c r="E1577" i="1"/>
  <c r="F1577" i="1"/>
  <c r="G1577" i="1"/>
  <c r="H1577" i="1"/>
  <c r="I1577" i="1"/>
  <c r="J1577" i="1"/>
  <c r="K1577" i="1"/>
  <c r="A1578" i="1"/>
  <c r="B1578" i="1"/>
  <c r="C1578" i="1"/>
  <c r="D1578" i="1"/>
  <c r="E1578" i="1"/>
  <c r="F1578" i="1"/>
  <c r="G1578" i="1"/>
  <c r="H1578" i="1"/>
  <c r="I1578" i="1"/>
  <c r="J1578" i="1"/>
  <c r="K1578" i="1"/>
  <c r="A1579" i="1"/>
  <c r="B1579" i="1"/>
  <c r="C1579" i="1"/>
  <c r="D1579" i="1"/>
  <c r="E1579" i="1"/>
  <c r="F1579" i="1"/>
  <c r="G1579" i="1"/>
  <c r="H1579" i="1"/>
  <c r="I1579" i="1"/>
  <c r="J1579" i="1"/>
  <c r="K1579" i="1"/>
  <c r="A1580" i="1"/>
  <c r="B1580" i="1"/>
  <c r="C1580" i="1"/>
  <c r="D1580" i="1"/>
  <c r="E1580" i="1"/>
  <c r="F1580" i="1"/>
  <c r="G1580" i="1"/>
  <c r="H1580" i="1"/>
  <c r="I1580" i="1"/>
  <c r="J1580" i="1"/>
  <c r="K1580" i="1"/>
  <c r="A1581" i="1"/>
  <c r="B1581" i="1"/>
  <c r="C1581" i="1"/>
  <c r="D1581" i="1"/>
  <c r="E1581" i="1"/>
  <c r="F1581" i="1"/>
  <c r="G1581" i="1"/>
  <c r="H1581" i="1"/>
  <c r="I1581" i="1"/>
  <c r="J1581" i="1"/>
  <c r="K1581" i="1"/>
  <c r="A1582" i="1"/>
  <c r="B1582" i="1"/>
  <c r="C1582" i="1"/>
  <c r="D1582" i="1"/>
  <c r="E1582" i="1"/>
  <c r="F1582" i="1"/>
  <c r="G1582" i="1"/>
  <c r="H1582" i="1"/>
  <c r="I1582" i="1"/>
  <c r="J1582" i="1"/>
  <c r="K1582" i="1"/>
  <c r="A1583" i="1"/>
  <c r="B1583" i="1"/>
  <c r="C1583" i="1"/>
  <c r="D1583" i="1"/>
  <c r="E1583" i="1"/>
  <c r="F1583" i="1"/>
  <c r="G1583" i="1"/>
  <c r="H1583" i="1"/>
  <c r="I1583" i="1"/>
  <c r="J1583" i="1"/>
  <c r="K1583" i="1"/>
  <c r="A1584" i="1"/>
  <c r="B1584" i="1"/>
  <c r="C1584" i="1"/>
  <c r="D1584" i="1"/>
  <c r="E1584" i="1"/>
  <c r="F1584" i="1"/>
  <c r="G1584" i="1"/>
  <c r="H1584" i="1"/>
  <c r="I1584" i="1"/>
  <c r="J1584" i="1"/>
  <c r="K1584" i="1"/>
  <c r="A1585" i="1"/>
  <c r="B1585" i="1"/>
  <c r="C1585" i="1"/>
  <c r="D1585" i="1"/>
  <c r="E1585" i="1"/>
  <c r="F1585" i="1"/>
  <c r="G1585" i="1"/>
  <c r="H1585" i="1"/>
  <c r="I1585" i="1"/>
  <c r="J1585" i="1"/>
  <c r="K1585" i="1"/>
  <c r="A1586" i="1"/>
  <c r="B1586" i="1"/>
  <c r="C1586" i="1"/>
  <c r="D1586" i="1"/>
  <c r="E1586" i="1"/>
  <c r="F1586" i="1"/>
  <c r="G1586" i="1"/>
  <c r="H1586" i="1"/>
  <c r="I1586" i="1"/>
  <c r="J1586" i="1"/>
  <c r="K1586" i="1"/>
  <c r="A1587" i="1"/>
  <c r="B1587" i="1"/>
  <c r="C1587" i="1"/>
  <c r="D1587" i="1"/>
  <c r="E1587" i="1"/>
  <c r="F1587" i="1"/>
  <c r="G1587" i="1"/>
  <c r="H1587" i="1"/>
  <c r="I1587" i="1"/>
  <c r="J1587" i="1"/>
  <c r="K1587" i="1"/>
  <c r="A1588" i="1"/>
  <c r="B1588" i="1"/>
  <c r="C1588" i="1"/>
  <c r="D1588" i="1"/>
  <c r="E1588" i="1"/>
  <c r="F1588" i="1"/>
  <c r="G1588" i="1"/>
  <c r="H1588" i="1"/>
  <c r="I1588" i="1"/>
  <c r="J1588" i="1"/>
  <c r="K1588" i="1"/>
  <c r="A1589" i="1"/>
  <c r="B1589" i="1"/>
  <c r="C1589" i="1"/>
  <c r="D1589" i="1"/>
  <c r="E1589" i="1"/>
  <c r="F1589" i="1"/>
  <c r="G1589" i="1"/>
  <c r="H1589" i="1"/>
  <c r="I1589" i="1"/>
  <c r="J1589" i="1"/>
  <c r="K1589" i="1"/>
  <c r="A1590" i="1"/>
  <c r="B1590" i="1"/>
  <c r="C1590" i="1"/>
  <c r="D1590" i="1"/>
  <c r="E1590" i="1"/>
  <c r="F1590" i="1"/>
  <c r="G1590" i="1"/>
  <c r="H1590" i="1"/>
  <c r="I1590" i="1"/>
  <c r="J1590" i="1"/>
  <c r="K1590" i="1"/>
  <c r="A1591" i="1"/>
  <c r="B1591" i="1"/>
  <c r="C1591" i="1"/>
  <c r="D1591" i="1"/>
  <c r="E1591" i="1"/>
  <c r="F1591" i="1"/>
  <c r="G1591" i="1"/>
  <c r="H1591" i="1"/>
  <c r="I1591" i="1"/>
  <c r="J1591" i="1"/>
  <c r="K1591" i="1"/>
  <c r="A1592" i="1"/>
  <c r="B1592" i="1"/>
  <c r="C1592" i="1"/>
  <c r="D1592" i="1"/>
  <c r="E1592" i="1"/>
  <c r="F1592" i="1"/>
  <c r="G1592" i="1"/>
  <c r="H1592" i="1"/>
  <c r="I1592" i="1"/>
  <c r="J1592" i="1"/>
  <c r="K1592" i="1"/>
  <c r="A1593" i="1"/>
  <c r="B1593" i="1"/>
  <c r="C1593" i="1"/>
  <c r="D1593" i="1"/>
  <c r="E1593" i="1"/>
  <c r="F1593" i="1"/>
  <c r="G1593" i="1"/>
  <c r="H1593" i="1"/>
  <c r="I1593" i="1"/>
  <c r="J1593" i="1"/>
  <c r="K1593" i="1"/>
  <c r="A1594" i="1"/>
  <c r="B1594" i="1"/>
  <c r="C1594" i="1"/>
  <c r="D1594" i="1"/>
  <c r="E1594" i="1"/>
  <c r="F1594" i="1"/>
  <c r="G1594" i="1"/>
  <c r="H1594" i="1"/>
  <c r="I1594" i="1"/>
  <c r="J1594" i="1"/>
  <c r="K1594" i="1"/>
  <c r="A1595" i="1"/>
  <c r="B1595" i="1"/>
  <c r="C1595" i="1"/>
  <c r="D1595" i="1"/>
  <c r="E1595" i="1"/>
  <c r="F1595" i="1"/>
  <c r="G1595" i="1"/>
  <c r="H1595" i="1"/>
  <c r="I1595" i="1"/>
  <c r="J1595" i="1"/>
  <c r="K1595" i="1"/>
  <c r="A1596" i="1"/>
  <c r="B1596" i="1"/>
  <c r="C1596" i="1"/>
  <c r="D1596" i="1"/>
  <c r="E1596" i="1"/>
  <c r="F1596" i="1"/>
  <c r="G1596" i="1"/>
  <c r="H1596" i="1"/>
  <c r="I1596" i="1"/>
  <c r="J1596" i="1"/>
  <c r="K1596" i="1"/>
  <c r="A1597" i="1"/>
  <c r="B1597" i="1"/>
  <c r="C1597" i="1"/>
  <c r="D1597" i="1"/>
  <c r="E1597" i="1"/>
  <c r="F1597" i="1"/>
  <c r="G1597" i="1"/>
  <c r="H1597" i="1"/>
  <c r="I1597" i="1"/>
  <c r="J1597" i="1"/>
  <c r="K1597" i="1"/>
  <c r="A1598" i="1"/>
  <c r="B1598" i="1"/>
  <c r="C1598" i="1"/>
  <c r="D1598" i="1"/>
  <c r="E1598" i="1"/>
  <c r="F1598" i="1"/>
  <c r="G1598" i="1"/>
  <c r="H1598" i="1"/>
  <c r="I1598" i="1"/>
  <c r="J1598" i="1"/>
  <c r="K1598" i="1"/>
  <c r="A1599" i="1"/>
  <c r="B1599" i="1"/>
  <c r="C1599" i="1"/>
  <c r="D1599" i="1"/>
  <c r="E1599" i="1"/>
  <c r="F1599" i="1"/>
  <c r="G1599" i="1"/>
  <c r="H1599" i="1"/>
  <c r="I1599" i="1"/>
  <c r="J1599" i="1"/>
  <c r="K1599" i="1"/>
  <c r="A1600" i="1"/>
  <c r="B1600" i="1"/>
  <c r="C1600" i="1"/>
  <c r="D1600" i="1"/>
  <c r="E1600" i="1"/>
  <c r="F1600" i="1"/>
  <c r="G1600" i="1"/>
  <c r="H1600" i="1"/>
  <c r="I1600" i="1"/>
  <c r="J1600" i="1"/>
  <c r="K1600" i="1"/>
  <c r="A1601" i="1"/>
  <c r="B1601" i="1"/>
  <c r="C1601" i="1"/>
  <c r="D1601" i="1"/>
  <c r="E1601" i="1"/>
  <c r="F1601" i="1"/>
  <c r="G1601" i="1"/>
  <c r="H1601" i="1"/>
  <c r="I1601" i="1"/>
  <c r="J1601" i="1"/>
  <c r="K1601" i="1"/>
  <c r="A1602" i="1"/>
  <c r="B1602" i="1"/>
  <c r="C1602" i="1"/>
  <c r="D1602" i="1"/>
  <c r="E1602" i="1"/>
  <c r="F1602" i="1"/>
  <c r="G1602" i="1"/>
  <c r="H1602" i="1"/>
  <c r="I1602" i="1"/>
  <c r="J1602" i="1"/>
  <c r="K1602" i="1"/>
  <c r="A1603" i="1"/>
  <c r="B1603" i="1"/>
  <c r="C1603" i="1"/>
  <c r="D1603" i="1"/>
  <c r="E1603" i="1"/>
  <c r="F1603" i="1"/>
  <c r="G1603" i="1"/>
  <c r="H1603" i="1"/>
  <c r="I1603" i="1"/>
  <c r="J1603" i="1"/>
  <c r="K1603" i="1"/>
  <c r="A1604" i="1"/>
  <c r="B1604" i="1"/>
  <c r="C1604" i="1"/>
  <c r="D1604" i="1"/>
  <c r="E1604" i="1"/>
  <c r="F1604" i="1"/>
  <c r="G1604" i="1"/>
  <c r="H1604" i="1"/>
  <c r="I1604" i="1"/>
  <c r="J1604" i="1"/>
  <c r="K1604" i="1"/>
  <c r="A1605" i="1"/>
  <c r="B1605" i="1"/>
  <c r="C1605" i="1"/>
  <c r="D1605" i="1"/>
  <c r="E1605" i="1"/>
  <c r="F1605" i="1"/>
  <c r="G1605" i="1"/>
  <c r="H1605" i="1"/>
  <c r="I1605" i="1"/>
  <c r="J1605" i="1"/>
  <c r="K1605" i="1"/>
  <c r="A1606" i="1"/>
  <c r="B1606" i="1"/>
  <c r="C1606" i="1"/>
  <c r="D1606" i="1"/>
  <c r="E1606" i="1"/>
  <c r="F1606" i="1"/>
  <c r="G1606" i="1"/>
  <c r="H1606" i="1"/>
  <c r="I1606" i="1"/>
  <c r="J1606" i="1"/>
  <c r="K1606" i="1"/>
  <c r="A1607" i="1"/>
  <c r="B1607" i="1"/>
  <c r="C1607" i="1"/>
  <c r="D1607" i="1"/>
  <c r="E1607" i="1"/>
  <c r="F1607" i="1"/>
  <c r="G1607" i="1"/>
  <c r="H1607" i="1"/>
  <c r="I1607" i="1"/>
  <c r="J1607" i="1"/>
  <c r="K1607" i="1"/>
  <c r="A1608" i="1"/>
  <c r="B1608" i="1"/>
  <c r="C1608" i="1"/>
  <c r="D1608" i="1"/>
  <c r="E1608" i="1"/>
  <c r="F1608" i="1"/>
  <c r="G1608" i="1"/>
  <c r="H1608" i="1"/>
  <c r="I1608" i="1"/>
  <c r="J1608" i="1"/>
  <c r="K1608" i="1"/>
  <c r="A1609" i="1"/>
  <c r="B1609" i="1"/>
  <c r="C1609" i="1"/>
  <c r="D1609" i="1"/>
  <c r="E1609" i="1"/>
  <c r="F1609" i="1"/>
  <c r="G1609" i="1"/>
  <c r="H1609" i="1"/>
  <c r="I1609" i="1"/>
  <c r="J1609" i="1"/>
  <c r="K1609" i="1"/>
  <c r="A1610" i="1"/>
  <c r="B1610" i="1"/>
  <c r="C1610" i="1"/>
  <c r="D1610" i="1"/>
  <c r="E1610" i="1"/>
  <c r="F1610" i="1"/>
  <c r="G1610" i="1"/>
  <c r="H1610" i="1"/>
  <c r="I1610" i="1"/>
  <c r="J1610" i="1"/>
  <c r="K1610" i="1"/>
  <c r="A1611" i="1"/>
  <c r="B1611" i="1"/>
  <c r="C1611" i="1"/>
  <c r="D1611" i="1"/>
  <c r="E1611" i="1"/>
  <c r="F1611" i="1"/>
  <c r="G1611" i="1"/>
  <c r="H1611" i="1"/>
  <c r="I1611" i="1"/>
  <c r="J1611" i="1"/>
  <c r="K1611" i="1"/>
  <c r="A1612" i="1"/>
  <c r="B1612" i="1"/>
  <c r="C1612" i="1"/>
  <c r="D1612" i="1"/>
  <c r="E1612" i="1"/>
  <c r="F1612" i="1"/>
  <c r="G1612" i="1"/>
  <c r="H1612" i="1"/>
  <c r="I1612" i="1"/>
  <c r="J1612" i="1"/>
  <c r="K1612" i="1"/>
  <c r="A1613" i="1"/>
  <c r="B1613" i="1"/>
  <c r="C1613" i="1"/>
  <c r="D1613" i="1"/>
  <c r="E1613" i="1"/>
  <c r="F1613" i="1"/>
  <c r="G1613" i="1"/>
  <c r="H1613" i="1"/>
  <c r="I1613" i="1"/>
  <c r="J1613" i="1"/>
  <c r="K1613" i="1"/>
  <c r="A1614" i="1"/>
  <c r="B1614" i="1"/>
  <c r="C1614" i="1"/>
  <c r="D1614" i="1"/>
  <c r="E1614" i="1"/>
  <c r="F1614" i="1"/>
  <c r="G1614" i="1"/>
  <c r="H1614" i="1"/>
  <c r="I1614" i="1"/>
  <c r="J1614" i="1"/>
  <c r="K1614" i="1"/>
  <c r="A1615" i="1"/>
  <c r="B1615" i="1"/>
  <c r="C1615" i="1"/>
  <c r="D1615" i="1"/>
  <c r="E1615" i="1"/>
  <c r="F1615" i="1"/>
  <c r="G1615" i="1"/>
  <c r="H1615" i="1"/>
  <c r="I1615" i="1"/>
  <c r="J1615" i="1"/>
  <c r="K1615" i="1"/>
  <c r="A1616" i="1"/>
  <c r="B1616" i="1"/>
  <c r="C1616" i="1"/>
  <c r="D1616" i="1"/>
  <c r="E1616" i="1"/>
  <c r="F1616" i="1"/>
  <c r="G1616" i="1"/>
  <c r="H1616" i="1"/>
  <c r="I1616" i="1"/>
  <c r="J1616" i="1"/>
  <c r="K1616" i="1"/>
  <c r="A1617" i="1"/>
  <c r="B1617" i="1"/>
  <c r="C1617" i="1"/>
  <c r="D1617" i="1"/>
  <c r="E1617" i="1"/>
  <c r="F1617" i="1"/>
  <c r="G1617" i="1"/>
  <c r="H1617" i="1"/>
  <c r="I1617" i="1"/>
  <c r="J1617" i="1"/>
  <c r="K1617" i="1"/>
  <c r="A1618" i="1"/>
  <c r="B1618" i="1"/>
  <c r="C1618" i="1"/>
  <c r="D1618" i="1"/>
  <c r="E1618" i="1"/>
  <c r="F1618" i="1"/>
  <c r="G1618" i="1"/>
  <c r="H1618" i="1"/>
  <c r="I1618" i="1"/>
  <c r="J1618" i="1"/>
  <c r="K1618" i="1"/>
  <c r="A1619" i="1"/>
  <c r="B1619" i="1"/>
  <c r="C1619" i="1"/>
  <c r="D1619" i="1"/>
  <c r="E1619" i="1"/>
  <c r="F1619" i="1"/>
  <c r="G1619" i="1"/>
  <c r="H1619" i="1"/>
  <c r="I1619" i="1"/>
  <c r="J1619" i="1"/>
  <c r="K1619" i="1"/>
  <c r="A1620" i="1"/>
  <c r="B1620" i="1"/>
  <c r="C1620" i="1"/>
  <c r="D1620" i="1"/>
  <c r="E1620" i="1"/>
  <c r="F1620" i="1"/>
  <c r="G1620" i="1"/>
  <c r="H1620" i="1"/>
  <c r="I1620" i="1"/>
  <c r="J1620" i="1"/>
  <c r="K1620" i="1"/>
  <c r="A1621" i="1"/>
  <c r="B1621" i="1"/>
  <c r="C1621" i="1"/>
  <c r="D1621" i="1"/>
  <c r="E1621" i="1"/>
  <c r="F1621" i="1"/>
  <c r="G1621" i="1"/>
  <c r="H1621" i="1"/>
  <c r="I1621" i="1"/>
  <c r="J1621" i="1"/>
  <c r="K1621" i="1"/>
  <c r="A1622" i="1"/>
  <c r="B1622" i="1"/>
  <c r="C1622" i="1"/>
  <c r="D1622" i="1"/>
  <c r="E1622" i="1"/>
  <c r="F1622" i="1"/>
  <c r="G1622" i="1"/>
  <c r="H1622" i="1"/>
  <c r="I1622" i="1"/>
  <c r="J1622" i="1"/>
  <c r="K1622" i="1"/>
  <c r="A1623" i="1"/>
  <c r="B1623" i="1"/>
  <c r="C1623" i="1"/>
  <c r="D1623" i="1"/>
  <c r="E1623" i="1"/>
  <c r="F1623" i="1"/>
  <c r="G1623" i="1"/>
  <c r="H1623" i="1"/>
  <c r="I1623" i="1"/>
  <c r="J1623" i="1"/>
  <c r="K1623" i="1"/>
  <c r="A1624" i="1"/>
  <c r="B1624" i="1"/>
  <c r="C1624" i="1"/>
  <c r="D1624" i="1"/>
  <c r="E1624" i="1"/>
  <c r="F1624" i="1"/>
  <c r="G1624" i="1"/>
  <c r="H1624" i="1"/>
  <c r="I1624" i="1"/>
  <c r="J1624" i="1"/>
  <c r="K1624" i="1"/>
  <c r="A1625" i="1"/>
  <c r="B1625" i="1"/>
  <c r="C1625" i="1"/>
  <c r="D1625" i="1"/>
  <c r="E1625" i="1"/>
  <c r="F1625" i="1"/>
  <c r="G1625" i="1"/>
  <c r="H1625" i="1"/>
  <c r="I1625" i="1"/>
  <c r="J1625" i="1"/>
  <c r="K1625" i="1"/>
  <c r="A1626" i="1"/>
  <c r="B1626" i="1"/>
  <c r="C1626" i="1"/>
  <c r="D1626" i="1"/>
  <c r="E1626" i="1"/>
  <c r="F1626" i="1"/>
  <c r="G1626" i="1"/>
  <c r="H1626" i="1"/>
  <c r="I1626" i="1"/>
  <c r="J1626" i="1"/>
  <c r="K1626" i="1"/>
  <c r="A1627" i="1"/>
  <c r="B1627" i="1"/>
  <c r="C1627" i="1"/>
  <c r="D1627" i="1"/>
  <c r="E1627" i="1"/>
  <c r="F1627" i="1"/>
  <c r="G1627" i="1"/>
  <c r="H1627" i="1"/>
  <c r="I1627" i="1"/>
  <c r="J1627" i="1"/>
  <c r="K1627" i="1"/>
  <c r="A1628" i="1"/>
  <c r="B1628" i="1"/>
  <c r="C1628" i="1"/>
  <c r="D1628" i="1"/>
  <c r="E1628" i="1"/>
  <c r="F1628" i="1"/>
  <c r="G1628" i="1"/>
  <c r="H1628" i="1"/>
  <c r="I1628" i="1"/>
  <c r="J1628" i="1"/>
  <c r="K1628" i="1"/>
  <c r="A1629" i="1"/>
  <c r="B1629" i="1"/>
  <c r="C1629" i="1"/>
  <c r="D1629" i="1"/>
  <c r="E1629" i="1"/>
  <c r="F1629" i="1"/>
  <c r="G1629" i="1"/>
  <c r="H1629" i="1"/>
  <c r="I1629" i="1"/>
  <c r="J1629" i="1"/>
  <c r="K1629" i="1"/>
  <c r="A1630" i="1"/>
  <c r="B1630" i="1"/>
  <c r="C1630" i="1"/>
  <c r="D1630" i="1"/>
  <c r="E1630" i="1"/>
  <c r="F1630" i="1"/>
  <c r="G1630" i="1"/>
  <c r="H1630" i="1"/>
  <c r="I1630" i="1"/>
  <c r="J1630" i="1"/>
  <c r="K1630" i="1"/>
  <c r="A1631" i="1"/>
  <c r="B1631" i="1"/>
  <c r="C1631" i="1"/>
  <c r="D1631" i="1"/>
  <c r="E1631" i="1"/>
  <c r="F1631" i="1"/>
  <c r="G1631" i="1"/>
  <c r="H1631" i="1"/>
  <c r="I1631" i="1"/>
  <c r="J1631" i="1"/>
  <c r="K1631" i="1"/>
  <c r="A1632" i="1"/>
  <c r="B1632" i="1"/>
  <c r="C1632" i="1"/>
  <c r="D1632" i="1"/>
  <c r="E1632" i="1"/>
  <c r="F1632" i="1"/>
  <c r="G1632" i="1"/>
  <c r="H1632" i="1"/>
  <c r="I1632" i="1"/>
  <c r="J1632" i="1"/>
  <c r="K1632" i="1"/>
  <c r="A1633" i="1"/>
  <c r="B1633" i="1"/>
  <c r="C1633" i="1"/>
  <c r="D1633" i="1"/>
  <c r="E1633" i="1"/>
  <c r="F1633" i="1"/>
  <c r="G1633" i="1"/>
  <c r="H1633" i="1"/>
  <c r="I1633" i="1"/>
  <c r="J1633" i="1"/>
  <c r="K1633" i="1"/>
  <c r="A1634" i="1"/>
  <c r="B1634" i="1"/>
  <c r="C1634" i="1"/>
  <c r="D1634" i="1"/>
  <c r="E1634" i="1"/>
  <c r="F1634" i="1"/>
  <c r="G1634" i="1"/>
  <c r="H1634" i="1"/>
  <c r="I1634" i="1"/>
  <c r="J1634" i="1"/>
  <c r="K1634" i="1"/>
  <c r="A1635" i="1"/>
  <c r="B1635" i="1"/>
  <c r="C1635" i="1"/>
  <c r="D1635" i="1"/>
  <c r="E1635" i="1"/>
  <c r="F1635" i="1"/>
  <c r="G1635" i="1"/>
  <c r="H1635" i="1"/>
  <c r="I1635" i="1"/>
  <c r="J1635" i="1"/>
  <c r="K1635" i="1"/>
  <c r="A1636" i="1"/>
  <c r="B1636" i="1"/>
  <c r="C1636" i="1"/>
  <c r="D1636" i="1"/>
  <c r="E1636" i="1"/>
  <c r="F1636" i="1"/>
  <c r="G1636" i="1"/>
  <c r="H1636" i="1"/>
  <c r="I1636" i="1"/>
  <c r="J1636" i="1"/>
  <c r="K1636" i="1"/>
  <c r="A1637" i="1"/>
  <c r="B1637" i="1"/>
  <c r="C1637" i="1"/>
  <c r="D1637" i="1"/>
  <c r="E1637" i="1"/>
  <c r="F1637" i="1"/>
  <c r="G1637" i="1"/>
  <c r="H1637" i="1"/>
  <c r="I1637" i="1"/>
  <c r="J1637" i="1"/>
  <c r="K1637" i="1"/>
  <c r="A1638" i="1"/>
  <c r="B1638" i="1"/>
  <c r="C1638" i="1"/>
  <c r="D1638" i="1"/>
  <c r="E1638" i="1"/>
  <c r="F1638" i="1"/>
  <c r="G1638" i="1"/>
  <c r="H1638" i="1"/>
  <c r="I1638" i="1"/>
  <c r="J1638" i="1"/>
  <c r="K1638" i="1"/>
  <c r="A1639" i="1"/>
  <c r="B1639" i="1"/>
  <c r="C1639" i="1"/>
  <c r="D1639" i="1"/>
  <c r="E1639" i="1"/>
  <c r="F1639" i="1"/>
  <c r="G1639" i="1"/>
  <c r="H1639" i="1"/>
  <c r="I1639" i="1"/>
  <c r="J1639" i="1"/>
  <c r="K1639" i="1"/>
  <c r="A1640" i="1"/>
  <c r="B1640" i="1"/>
  <c r="C1640" i="1"/>
  <c r="D1640" i="1"/>
  <c r="E1640" i="1"/>
  <c r="F1640" i="1"/>
  <c r="G1640" i="1"/>
  <c r="H1640" i="1"/>
  <c r="I1640" i="1"/>
  <c r="J1640" i="1"/>
  <c r="K1640" i="1"/>
  <c r="A1641" i="1"/>
  <c r="B1641" i="1"/>
  <c r="C1641" i="1"/>
  <c r="D1641" i="1"/>
  <c r="E1641" i="1"/>
  <c r="F1641" i="1"/>
  <c r="G1641" i="1"/>
  <c r="H1641" i="1"/>
  <c r="I1641" i="1"/>
  <c r="J1641" i="1"/>
  <c r="K1641" i="1"/>
  <c r="A1642" i="1"/>
  <c r="B1642" i="1"/>
  <c r="C1642" i="1"/>
  <c r="D1642" i="1"/>
  <c r="E1642" i="1"/>
  <c r="F1642" i="1"/>
  <c r="G1642" i="1"/>
  <c r="H1642" i="1"/>
  <c r="I1642" i="1"/>
  <c r="J1642" i="1"/>
  <c r="K1642" i="1"/>
  <c r="A1643" i="1"/>
  <c r="B1643" i="1"/>
  <c r="C1643" i="1"/>
  <c r="D1643" i="1"/>
  <c r="E1643" i="1"/>
  <c r="F1643" i="1"/>
  <c r="G1643" i="1"/>
  <c r="H1643" i="1"/>
  <c r="I1643" i="1"/>
  <c r="J1643" i="1"/>
  <c r="K1643" i="1"/>
  <c r="A1644" i="1"/>
  <c r="B1644" i="1"/>
  <c r="C1644" i="1"/>
  <c r="D1644" i="1"/>
  <c r="E1644" i="1"/>
  <c r="F1644" i="1"/>
  <c r="G1644" i="1"/>
  <c r="H1644" i="1"/>
  <c r="I1644" i="1"/>
  <c r="J1644" i="1"/>
  <c r="K1644" i="1"/>
  <c r="A1645" i="1"/>
  <c r="B1645" i="1"/>
  <c r="C1645" i="1"/>
  <c r="D1645" i="1"/>
  <c r="E1645" i="1"/>
  <c r="F1645" i="1"/>
  <c r="G1645" i="1"/>
  <c r="H1645" i="1"/>
  <c r="I1645" i="1"/>
  <c r="J1645" i="1"/>
  <c r="K1645" i="1"/>
  <c r="A1646" i="1"/>
  <c r="B1646" i="1"/>
  <c r="C1646" i="1"/>
  <c r="D1646" i="1"/>
  <c r="E1646" i="1"/>
  <c r="F1646" i="1"/>
  <c r="G1646" i="1"/>
  <c r="H1646" i="1"/>
  <c r="I1646" i="1"/>
  <c r="J1646" i="1"/>
  <c r="K1646" i="1"/>
  <c r="A1647" i="1"/>
  <c r="B1647" i="1"/>
  <c r="C1647" i="1"/>
  <c r="D1647" i="1"/>
  <c r="E1647" i="1"/>
  <c r="F1647" i="1"/>
  <c r="G1647" i="1"/>
  <c r="H1647" i="1"/>
  <c r="I1647" i="1"/>
  <c r="J1647" i="1"/>
  <c r="K1647" i="1"/>
  <c r="A1648" i="1"/>
  <c r="B1648" i="1"/>
  <c r="C1648" i="1"/>
  <c r="D1648" i="1"/>
  <c r="E1648" i="1"/>
  <c r="F1648" i="1"/>
  <c r="G1648" i="1"/>
  <c r="H1648" i="1"/>
  <c r="I1648" i="1"/>
  <c r="J1648" i="1"/>
  <c r="K1648" i="1"/>
  <c r="A1649" i="1"/>
  <c r="B1649" i="1"/>
  <c r="C1649" i="1"/>
  <c r="D1649" i="1"/>
  <c r="E1649" i="1"/>
  <c r="F1649" i="1"/>
  <c r="G1649" i="1"/>
  <c r="H1649" i="1"/>
  <c r="I1649" i="1"/>
  <c r="J1649" i="1"/>
  <c r="K1649" i="1"/>
  <c r="A1650" i="1"/>
  <c r="B1650" i="1"/>
  <c r="C1650" i="1"/>
  <c r="D1650" i="1"/>
  <c r="E1650" i="1"/>
  <c r="F1650" i="1"/>
  <c r="G1650" i="1"/>
  <c r="H1650" i="1"/>
  <c r="I1650" i="1"/>
  <c r="J1650" i="1"/>
  <c r="K1650" i="1"/>
  <c r="A1651" i="1"/>
  <c r="B1651" i="1"/>
  <c r="C1651" i="1"/>
  <c r="D1651" i="1"/>
  <c r="E1651" i="1"/>
  <c r="F1651" i="1"/>
  <c r="G1651" i="1"/>
  <c r="H1651" i="1"/>
  <c r="I1651" i="1"/>
  <c r="J1651" i="1"/>
  <c r="K1651" i="1"/>
  <c r="A1652" i="1"/>
  <c r="B1652" i="1"/>
  <c r="C1652" i="1"/>
  <c r="D1652" i="1"/>
  <c r="E1652" i="1"/>
  <c r="F1652" i="1"/>
  <c r="G1652" i="1"/>
  <c r="H1652" i="1"/>
  <c r="I1652" i="1"/>
  <c r="J1652" i="1"/>
  <c r="K1652" i="1"/>
  <c r="A1653" i="1"/>
  <c r="B1653" i="1"/>
  <c r="C1653" i="1"/>
  <c r="D1653" i="1"/>
  <c r="E1653" i="1"/>
  <c r="F1653" i="1"/>
  <c r="G1653" i="1"/>
  <c r="H1653" i="1"/>
  <c r="I1653" i="1"/>
  <c r="J1653" i="1"/>
  <c r="K1653" i="1"/>
  <c r="A1654" i="1"/>
  <c r="B1654" i="1"/>
  <c r="C1654" i="1"/>
  <c r="D1654" i="1"/>
  <c r="E1654" i="1"/>
  <c r="F1654" i="1"/>
  <c r="G1654" i="1"/>
  <c r="H1654" i="1"/>
  <c r="I1654" i="1"/>
  <c r="J1654" i="1"/>
  <c r="K1654" i="1"/>
  <c r="A1655" i="1"/>
  <c r="B1655" i="1"/>
  <c r="C1655" i="1"/>
  <c r="D1655" i="1"/>
  <c r="E1655" i="1"/>
  <c r="F1655" i="1"/>
  <c r="G1655" i="1"/>
  <c r="H1655" i="1"/>
  <c r="I1655" i="1"/>
  <c r="J1655" i="1"/>
  <c r="K1655" i="1"/>
  <c r="A1656" i="1"/>
  <c r="B1656" i="1"/>
  <c r="C1656" i="1"/>
  <c r="D1656" i="1"/>
  <c r="E1656" i="1"/>
  <c r="F1656" i="1"/>
  <c r="G1656" i="1"/>
  <c r="H1656" i="1"/>
  <c r="I1656" i="1"/>
  <c r="J1656" i="1"/>
  <c r="K1656" i="1"/>
  <c r="A1657" i="1"/>
  <c r="B1657" i="1"/>
  <c r="C1657" i="1"/>
  <c r="D1657" i="1"/>
  <c r="E1657" i="1"/>
  <c r="F1657" i="1"/>
  <c r="G1657" i="1"/>
  <c r="H1657" i="1"/>
  <c r="I1657" i="1"/>
  <c r="J1657" i="1"/>
  <c r="K1657" i="1"/>
  <c r="A1658" i="1"/>
  <c r="B1658" i="1"/>
  <c r="C1658" i="1"/>
  <c r="D1658" i="1"/>
  <c r="E1658" i="1"/>
  <c r="F1658" i="1"/>
  <c r="G1658" i="1"/>
  <c r="H1658" i="1"/>
  <c r="I1658" i="1"/>
  <c r="J1658" i="1"/>
  <c r="K1658" i="1"/>
  <c r="A1659" i="1"/>
  <c r="B1659" i="1"/>
  <c r="C1659" i="1"/>
  <c r="D1659" i="1"/>
  <c r="E1659" i="1"/>
  <c r="F1659" i="1"/>
  <c r="G1659" i="1"/>
  <c r="H1659" i="1"/>
  <c r="I1659" i="1"/>
  <c r="J1659" i="1"/>
  <c r="K1659" i="1"/>
  <c r="A1660" i="1"/>
  <c r="B1660" i="1"/>
  <c r="C1660" i="1"/>
  <c r="D1660" i="1"/>
  <c r="E1660" i="1"/>
  <c r="F1660" i="1"/>
  <c r="G1660" i="1"/>
  <c r="H1660" i="1"/>
  <c r="I1660" i="1"/>
  <c r="J1660" i="1"/>
  <c r="K1660" i="1"/>
  <c r="A1661" i="1"/>
  <c r="B1661" i="1"/>
  <c r="C1661" i="1"/>
  <c r="D1661" i="1"/>
  <c r="E1661" i="1"/>
  <c r="F1661" i="1"/>
  <c r="G1661" i="1"/>
  <c r="H1661" i="1"/>
  <c r="I1661" i="1"/>
  <c r="J1661" i="1"/>
  <c r="K1661" i="1"/>
  <c r="A1662" i="1"/>
  <c r="B1662" i="1"/>
  <c r="C1662" i="1"/>
  <c r="D1662" i="1"/>
  <c r="E1662" i="1"/>
  <c r="F1662" i="1"/>
  <c r="G1662" i="1"/>
  <c r="H1662" i="1"/>
  <c r="I1662" i="1"/>
  <c r="J1662" i="1"/>
  <c r="K1662" i="1"/>
  <c r="A1663" i="1"/>
  <c r="B1663" i="1"/>
  <c r="C1663" i="1"/>
  <c r="D1663" i="1"/>
  <c r="E1663" i="1"/>
  <c r="F1663" i="1"/>
  <c r="G1663" i="1"/>
  <c r="H1663" i="1"/>
  <c r="I1663" i="1"/>
  <c r="J1663" i="1"/>
  <c r="K1663" i="1"/>
  <c r="A1664" i="1"/>
  <c r="B1664" i="1"/>
  <c r="C1664" i="1"/>
  <c r="D1664" i="1"/>
  <c r="E1664" i="1"/>
  <c r="F1664" i="1"/>
  <c r="G1664" i="1"/>
  <c r="H1664" i="1"/>
  <c r="I1664" i="1"/>
  <c r="J1664" i="1"/>
  <c r="K1664" i="1"/>
  <c r="A1665" i="1"/>
  <c r="B1665" i="1"/>
  <c r="C1665" i="1"/>
  <c r="D1665" i="1"/>
  <c r="E1665" i="1"/>
  <c r="F1665" i="1"/>
  <c r="G1665" i="1"/>
  <c r="H1665" i="1"/>
  <c r="I1665" i="1"/>
  <c r="J1665" i="1"/>
  <c r="K1665" i="1"/>
  <c r="A1666" i="1"/>
  <c r="B1666" i="1"/>
  <c r="C1666" i="1"/>
  <c r="D1666" i="1"/>
  <c r="E1666" i="1"/>
  <c r="F1666" i="1"/>
  <c r="G1666" i="1"/>
  <c r="H1666" i="1"/>
  <c r="I1666" i="1"/>
  <c r="J1666" i="1"/>
  <c r="K1666" i="1"/>
  <c r="A1667" i="1"/>
  <c r="B1667" i="1"/>
  <c r="C1667" i="1"/>
  <c r="D1667" i="1"/>
  <c r="E1667" i="1"/>
  <c r="F1667" i="1"/>
  <c r="G1667" i="1"/>
  <c r="H1667" i="1"/>
  <c r="I1667" i="1"/>
  <c r="J1667" i="1"/>
  <c r="K1667" i="1"/>
  <c r="A1668" i="1"/>
  <c r="B1668" i="1"/>
  <c r="C1668" i="1"/>
  <c r="D1668" i="1"/>
  <c r="E1668" i="1"/>
  <c r="F1668" i="1"/>
  <c r="G1668" i="1"/>
  <c r="H1668" i="1"/>
  <c r="I1668" i="1"/>
  <c r="J1668" i="1"/>
  <c r="K1668" i="1"/>
  <c r="A1669" i="1"/>
  <c r="B1669" i="1"/>
  <c r="C1669" i="1"/>
  <c r="D1669" i="1"/>
  <c r="E1669" i="1"/>
  <c r="F1669" i="1"/>
  <c r="G1669" i="1"/>
  <c r="H1669" i="1"/>
  <c r="I1669" i="1"/>
  <c r="J1669" i="1"/>
  <c r="K1669" i="1"/>
  <c r="A1670" i="1"/>
  <c r="B1670" i="1"/>
  <c r="C1670" i="1"/>
  <c r="D1670" i="1"/>
  <c r="E1670" i="1"/>
  <c r="F1670" i="1"/>
  <c r="G1670" i="1"/>
  <c r="H1670" i="1"/>
  <c r="I1670" i="1"/>
  <c r="J1670" i="1"/>
  <c r="K1670" i="1"/>
  <c r="A1671" i="1"/>
  <c r="B1671" i="1"/>
  <c r="C1671" i="1"/>
  <c r="D1671" i="1"/>
  <c r="E1671" i="1"/>
  <c r="F1671" i="1"/>
  <c r="G1671" i="1"/>
  <c r="H1671" i="1"/>
  <c r="I1671" i="1"/>
  <c r="J1671" i="1"/>
  <c r="K1671" i="1"/>
  <c r="A1672" i="1"/>
  <c r="B1672" i="1"/>
  <c r="C1672" i="1"/>
  <c r="D1672" i="1"/>
  <c r="E1672" i="1"/>
  <c r="F1672" i="1"/>
  <c r="G1672" i="1"/>
  <c r="H1672" i="1"/>
  <c r="I1672" i="1"/>
  <c r="J1672" i="1"/>
  <c r="K1672" i="1"/>
  <c r="A1673" i="1"/>
  <c r="B1673" i="1"/>
  <c r="C1673" i="1"/>
  <c r="D1673" i="1"/>
  <c r="E1673" i="1"/>
  <c r="F1673" i="1"/>
  <c r="G1673" i="1"/>
  <c r="H1673" i="1"/>
  <c r="I1673" i="1"/>
  <c r="J1673" i="1"/>
  <c r="K1673" i="1"/>
  <c r="A1674" i="1"/>
  <c r="B1674" i="1"/>
  <c r="C1674" i="1"/>
  <c r="D1674" i="1"/>
  <c r="E1674" i="1"/>
  <c r="F1674" i="1"/>
  <c r="G1674" i="1"/>
  <c r="H1674" i="1"/>
  <c r="I1674" i="1"/>
  <c r="J1674" i="1"/>
  <c r="K1674" i="1"/>
  <c r="A1675" i="1"/>
  <c r="B1675" i="1"/>
  <c r="C1675" i="1"/>
  <c r="D1675" i="1"/>
  <c r="E1675" i="1"/>
  <c r="F1675" i="1"/>
  <c r="G1675" i="1"/>
  <c r="H1675" i="1"/>
  <c r="I1675" i="1"/>
  <c r="J1675" i="1"/>
  <c r="K1675" i="1"/>
  <c r="A1676" i="1"/>
  <c r="B1676" i="1"/>
  <c r="C1676" i="1"/>
  <c r="D1676" i="1"/>
  <c r="E1676" i="1"/>
  <c r="F1676" i="1"/>
  <c r="G1676" i="1"/>
  <c r="H1676" i="1"/>
  <c r="I1676" i="1"/>
  <c r="J1676" i="1"/>
  <c r="K1676" i="1"/>
  <c r="A1677" i="1"/>
  <c r="B1677" i="1"/>
  <c r="C1677" i="1"/>
  <c r="D1677" i="1"/>
  <c r="E1677" i="1"/>
  <c r="F1677" i="1"/>
  <c r="G1677" i="1"/>
  <c r="H1677" i="1"/>
  <c r="I1677" i="1"/>
  <c r="J1677" i="1"/>
  <c r="K1677" i="1"/>
  <c r="A1678" i="1"/>
  <c r="B1678" i="1"/>
  <c r="C1678" i="1"/>
  <c r="D1678" i="1"/>
  <c r="E1678" i="1"/>
  <c r="F1678" i="1"/>
  <c r="G1678" i="1"/>
  <c r="H1678" i="1"/>
  <c r="I1678" i="1"/>
  <c r="J1678" i="1"/>
  <c r="K1678" i="1"/>
  <c r="A1679" i="1"/>
  <c r="B1679" i="1"/>
  <c r="C1679" i="1"/>
  <c r="D1679" i="1"/>
  <c r="E1679" i="1"/>
  <c r="F1679" i="1"/>
  <c r="G1679" i="1"/>
  <c r="H1679" i="1"/>
  <c r="I1679" i="1"/>
  <c r="J1679" i="1"/>
  <c r="K1679" i="1"/>
  <c r="A1680" i="1"/>
  <c r="B1680" i="1"/>
  <c r="C1680" i="1"/>
  <c r="D1680" i="1"/>
  <c r="E1680" i="1"/>
  <c r="F1680" i="1"/>
  <c r="G1680" i="1"/>
  <c r="H1680" i="1"/>
  <c r="I1680" i="1"/>
  <c r="J1680" i="1"/>
  <c r="K1680" i="1"/>
  <c r="A1681" i="1"/>
  <c r="B1681" i="1"/>
  <c r="C1681" i="1"/>
  <c r="D1681" i="1"/>
  <c r="E1681" i="1"/>
  <c r="F1681" i="1"/>
  <c r="G1681" i="1"/>
  <c r="H1681" i="1"/>
  <c r="I1681" i="1"/>
  <c r="J1681" i="1"/>
  <c r="K1681" i="1"/>
  <c r="A1682" i="1"/>
  <c r="B1682" i="1"/>
  <c r="C1682" i="1"/>
  <c r="D1682" i="1"/>
  <c r="E1682" i="1"/>
  <c r="F1682" i="1"/>
  <c r="G1682" i="1"/>
  <c r="H1682" i="1"/>
  <c r="I1682" i="1"/>
  <c r="J1682" i="1"/>
  <c r="K1682" i="1"/>
  <c r="A1683" i="1"/>
  <c r="B1683" i="1"/>
  <c r="C1683" i="1"/>
  <c r="D1683" i="1"/>
  <c r="E1683" i="1"/>
  <c r="F1683" i="1"/>
  <c r="G1683" i="1"/>
  <c r="H1683" i="1"/>
  <c r="I1683" i="1"/>
  <c r="J1683" i="1"/>
  <c r="K1683" i="1"/>
  <c r="A1684" i="1"/>
  <c r="B1684" i="1"/>
  <c r="C1684" i="1"/>
  <c r="D1684" i="1"/>
  <c r="E1684" i="1"/>
  <c r="F1684" i="1"/>
  <c r="G1684" i="1"/>
  <c r="H1684" i="1"/>
  <c r="I1684" i="1"/>
  <c r="J1684" i="1"/>
  <c r="K1684" i="1"/>
  <c r="A1685" i="1"/>
  <c r="B1685" i="1"/>
  <c r="C1685" i="1"/>
  <c r="D1685" i="1"/>
  <c r="E1685" i="1"/>
  <c r="F1685" i="1"/>
  <c r="G1685" i="1"/>
  <c r="H1685" i="1"/>
  <c r="I1685" i="1"/>
  <c r="J1685" i="1"/>
  <c r="K1685" i="1"/>
  <c r="A1686" i="1"/>
  <c r="B1686" i="1"/>
  <c r="C1686" i="1"/>
  <c r="D1686" i="1"/>
  <c r="E1686" i="1"/>
  <c r="F1686" i="1"/>
  <c r="G1686" i="1"/>
  <c r="H1686" i="1"/>
  <c r="I1686" i="1"/>
  <c r="J1686" i="1"/>
  <c r="K1686" i="1"/>
  <c r="A1687" i="1"/>
  <c r="B1687" i="1"/>
  <c r="C1687" i="1"/>
  <c r="D1687" i="1"/>
  <c r="E1687" i="1"/>
  <c r="F1687" i="1"/>
  <c r="G1687" i="1"/>
  <c r="H1687" i="1"/>
  <c r="I1687" i="1"/>
  <c r="J1687" i="1"/>
  <c r="K1687" i="1"/>
  <c r="A1688" i="1"/>
  <c r="B1688" i="1"/>
  <c r="C1688" i="1"/>
  <c r="D1688" i="1"/>
  <c r="E1688" i="1"/>
  <c r="F1688" i="1"/>
  <c r="G1688" i="1"/>
  <c r="H1688" i="1"/>
  <c r="I1688" i="1"/>
  <c r="J1688" i="1"/>
  <c r="K1688" i="1"/>
  <c r="A1689" i="1"/>
  <c r="B1689" i="1"/>
  <c r="C1689" i="1"/>
  <c r="D1689" i="1"/>
  <c r="E1689" i="1"/>
  <c r="F1689" i="1"/>
  <c r="G1689" i="1"/>
  <c r="H1689" i="1"/>
  <c r="I1689" i="1"/>
  <c r="J1689" i="1"/>
  <c r="K1689" i="1"/>
  <c r="A1690" i="1"/>
  <c r="B1690" i="1"/>
  <c r="C1690" i="1"/>
  <c r="D1690" i="1"/>
  <c r="E1690" i="1"/>
  <c r="F1690" i="1"/>
  <c r="G1690" i="1"/>
  <c r="H1690" i="1"/>
  <c r="I1690" i="1"/>
  <c r="J1690" i="1"/>
  <c r="K1690" i="1"/>
  <c r="A1691" i="1"/>
  <c r="B1691" i="1"/>
  <c r="C1691" i="1"/>
  <c r="D1691" i="1"/>
  <c r="E1691" i="1"/>
  <c r="F1691" i="1"/>
  <c r="G1691" i="1"/>
  <c r="H1691" i="1"/>
  <c r="I1691" i="1"/>
  <c r="J1691" i="1"/>
  <c r="K1691" i="1"/>
  <c r="A1692" i="1"/>
  <c r="B1692" i="1"/>
  <c r="C1692" i="1"/>
  <c r="D1692" i="1"/>
  <c r="E1692" i="1"/>
  <c r="F1692" i="1"/>
  <c r="G1692" i="1"/>
  <c r="H1692" i="1"/>
  <c r="I1692" i="1"/>
  <c r="J1692" i="1"/>
  <c r="K1692" i="1"/>
  <c r="A1693" i="1"/>
  <c r="B1693" i="1"/>
  <c r="C1693" i="1"/>
  <c r="D1693" i="1"/>
  <c r="E1693" i="1"/>
  <c r="F1693" i="1"/>
  <c r="G1693" i="1"/>
  <c r="H1693" i="1"/>
  <c r="I1693" i="1"/>
  <c r="J1693" i="1"/>
  <c r="K1693" i="1"/>
  <c r="A1694" i="1"/>
  <c r="B1694" i="1"/>
  <c r="C1694" i="1"/>
  <c r="D1694" i="1"/>
  <c r="E1694" i="1"/>
  <c r="F1694" i="1"/>
  <c r="G1694" i="1"/>
  <c r="H1694" i="1"/>
  <c r="I1694" i="1"/>
  <c r="J1694" i="1"/>
  <c r="K1694" i="1"/>
  <c r="A1695" i="1"/>
  <c r="B1695" i="1"/>
  <c r="C1695" i="1"/>
  <c r="D1695" i="1"/>
  <c r="E1695" i="1"/>
  <c r="F1695" i="1"/>
  <c r="G1695" i="1"/>
  <c r="H1695" i="1"/>
  <c r="I1695" i="1"/>
  <c r="J1695" i="1"/>
  <c r="K1695" i="1"/>
  <c r="A1696" i="1"/>
  <c r="B1696" i="1"/>
  <c r="C1696" i="1"/>
  <c r="D1696" i="1"/>
  <c r="E1696" i="1"/>
  <c r="F1696" i="1"/>
  <c r="G1696" i="1"/>
  <c r="H1696" i="1"/>
  <c r="I1696" i="1"/>
  <c r="J1696" i="1"/>
  <c r="K1696" i="1"/>
  <c r="A1697" i="1"/>
  <c r="B1697" i="1"/>
  <c r="C1697" i="1"/>
  <c r="D1697" i="1"/>
  <c r="E1697" i="1"/>
  <c r="F1697" i="1"/>
  <c r="G1697" i="1"/>
  <c r="H1697" i="1"/>
  <c r="I1697" i="1"/>
  <c r="J1697" i="1"/>
  <c r="K1697" i="1"/>
  <c r="A1698" i="1"/>
  <c r="B1698" i="1"/>
  <c r="C1698" i="1"/>
  <c r="D1698" i="1"/>
  <c r="E1698" i="1"/>
  <c r="F1698" i="1"/>
  <c r="G1698" i="1"/>
  <c r="H1698" i="1"/>
  <c r="I1698" i="1"/>
  <c r="J1698" i="1"/>
  <c r="K1698" i="1"/>
  <c r="A1699" i="1"/>
  <c r="B1699" i="1"/>
  <c r="C1699" i="1"/>
  <c r="D1699" i="1"/>
  <c r="E1699" i="1"/>
  <c r="F1699" i="1"/>
  <c r="G1699" i="1"/>
  <c r="H1699" i="1"/>
  <c r="I1699" i="1"/>
  <c r="J1699" i="1"/>
  <c r="K1699" i="1"/>
  <c r="A1700" i="1"/>
  <c r="B1700" i="1"/>
  <c r="C1700" i="1"/>
  <c r="D1700" i="1"/>
  <c r="E1700" i="1"/>
  <c r="F1700" i="1"/>
  <c r="G1700" i="1"/>
  <c r="H1700" i="1"/>
  <c r="I1700" i="1"/>
  <c r="J1700" i="1"/>
  <c r="K1700" i="1"/>
  <c r="A1701" i="1"/>
  <c r="B1701" i="1"/>
  <c r="C1701" i="1"/>
  <c r="D1701" i="1"/>
  <c r="E1701" i="1"/>
  <c r="F1701" i="1"/>
  <c r="G1701" i="1"/>
  <c r="H1701" i="1"/>
  <c r="I1701" i="1"/>
  <c r="J1701" i="1"/>
  <c r="K1701" i="1"/>
  <c r="A1702" i="1"/>
  <c r="B1702" i="1"/>
  <c r="C1702" i="1"/>
  <c r="D1702" i="1"/>
  <c r="E1702" i="1"/>
  <c r="F1702" i="1"/>
  <c r="G1702" i="1"/>
  <c r="H1702" i="1"/>
  <c r="I1702" i="1"/>
  <c r="J1702" i="1"/>
  <c r="K1702" i="1"/>
  <c r="A1703" i="1"/>
  <c r="B1703" i="1"/>
  <c r="C1703" i="1"/>
  <c r="D1703" i="1"/>
  <c r="E1703" i="1"/>
  <c r="F1703" i="1"/>
  <c r="G1703" i="1"/>
  <c r="H1703" i="1"/>
  <c r="I1703" i="1"/>
  <c r="J1703" i="1"/>
  <c r="K1703" i="1"/>
  <c r="A1704" i="1"/>
  <c r="B1704" i="1"/>
  <c r="C1704" i="1"/>
  <c r="D1704" i="1"/>
  <c r="E1704" i="1"/>
  <c r="F1704" i="1"/>
  <c r="G1704" i="1"/>
  <c r="H1704" i="1"/>
  <c r="I1704" i="1"/>
  <c r="J1704" i="1"/>
  <c r="K1704" i="1"/>
  <c r="A1705" i="1"/>
  <c r="B1705" i="1"/>
  <c r="C1705" i="1"/>
  <c r="D1705" i="1"/>
  <c r="E1705" i="1"/>
  <c r="F1705" i="1"/>
  <c r="G1705" i="1"/>
  <c r="H1705" i="1"/>
  <c r="I1705" i="1"/>
  <c r="J1705" i="1"/>
  <c r="K1705" i="1"/>
  <c r="A1706" i="1"/>
  <c r="B1706" i="1"/>
  <c r="C1706" i="1"/>
  <c r="D1706" i="1"/>
  <c r="E1706" i="1"/>
  <c r="F1706" i="1"/>
  <c r="G1706" i="1"/>
  <c r="H1706" i="1"/>
  <c r="I1706" i="1"/>
  <c r="J1706" i="1"/>
  <c r="K1706" i="1"/>
  <c r="A1707" i="1"/>
  <c r="B1707" i="1"/>
  <c r="C1707" i="1"/>
  <c r="D1707" i="1"/>
  <c r="E1707" i="1"/>
  <c r="F1707" i="1"/>
  <c r="G1707" i="1"/>
  <c r="H1707" i="1"/>
  <c r="I1707" i="1"/>
  <c r="J1707" i="1"/>
  <c r="K1707" i="1"/>
  <c r="A1708" i="1"/>
  <c r="B1708" i="1"/>
  <c r="C1708" i="1"/>
  <c r="D1708" i="1"/>
  <c r="E1708" i="1"/>
  <c r="F1708" i="1"/>
  <c r="G1708" i="1"/>
  <c r="H1708" i="1"/>
  <c r="I1708" i="1"/>
  <c r="J1708" i="1"/>
  <c r="K1708" i="1"/>
  <c r="A1709" i="1"/>
  <c r="B1709" i="1"/>
  <c r="C1709" i="1"/>
  <c r="D1709" i="1"/>
  <c r="E1709" i="1"/>
  <c r="F1709" i="1"/>
  <c r="G1709" i="1"/>
  <c r="H1709" i="1"/>
  <c r="I1709" i="1"/>
  <c r="J1709" i="1"/>
  <c r="K1709" i="1"/>
  <c r="A1710" i="1"/>
  <c r="B1710" i="1"/>
  <c r="C1710" i="1"/>
  <c r="D1710" i="1"/>
  <c r="E1710" i="1"/>
  <c r="F1710" i="1"/>
  <c r="G1710" i="1"/>
  <c r="H1710" i="1"/>
  <c r="I1710" i="1"/>
  <c r="J1710" i="1"/>
  <c r="K1710" i="1"/>
  <c r="A1711" i="1"/>
  <c r="B1711" i="1"/>
  <c r="C1711" i="1"/>
  <c r="D1711" i="1"/>
  <c r="E1711" i="1"/>
  <c r="F1711" i="1"/>
  <c r="G1711" i="1"/>
  <c r="H1711" i="1"/>
  <c r="I1711" i="1"/>
  <c r="J1711" i="1"/>
  <c r="K1711" i="1"/>
  <c r="A1712" i="1"/>
  <c r="B1712" i="1"/>
  <c r="C1712" i="1"/>
  <c r="D1712" i="1"/>
  <c r="E1712" i="1"/>
  <c r="F1712" i="1"/>
  <c r="G1712" i="1"/>
  <c r="H1712" i="1"/>
  <c r="I1712" i="1"/>
  <c r="J1712" i="1"/>
  <c r="K1712" i="1"/>
  <c r="A1713" i="1"/>
  <c r="B1713" i="1"/>
  <c r="C1713" i="1"/>
  <c r="D1713" i="1"/>
  <c r="E1713" i="1"/>
  <c r="F1713" i="1"/>
  <c r="G1713" i="1"/>
  <c r="H1713" i="1"/>
  <c r="I1713" i="1"/>
  <c r="J1713" i="1"/>
  <c r="K1713" i="1"/>
  <c r="A1714" i="1"/>
  <c r="B1714" i="1"/>
  <c r="C1714" i="1"/>
  <c r="D1714" i="1"/>
  <c r="E1714" i="1"/>
  <c r="F1714" i="1"/>
  <c r="G1714" i="1"/>
  <c r="H1714" i="1"/>
  <c r="I1714" i="1"/>
  <c r="J1714" i="1"/>
  <c r="K1714" i="1"/>
  <c r="A1715" i="1"/>
  <c r="B1715" i="1"/>
  <c r="C1715" i="1"/>
  <c r="D1715" i="1"/>
  <c r="E1715" i="1"/>
  <c r="F1715" i="1"/>
  <c r="G1715" i="1"/>
  <c r="H1715" i="1"/>
  <c r="I1715" i="1"/>
  <c r="J1715" i="1"/>
  <c r="K1715" i="1"/>
  <c r="A1716" i="1"/>
  <c r="B1716" i="1"/>
  <c r="C1716" i="1"/>
  <c r="D1716" i="1"/>
  <c r="E1716" i="1"/>
  <c r="F1716" i="1"/>
  <c r="G1716" i="1"/>
  <c r="H1716" i="1"/>
  <c r="I1716" i="1"/>
  <c r="J1716" i="1"/>
  <c r="K1716" i="1"/>
  <c r="A1717" i="1"/>
  <c r="B1717" i="1"/>
  <c r="C1717" i="1"/>
  <c r="D1717" i="1"/>
  <c r="E1717" i="1"/>
  <c r="F1717" i="1"/>
  <c r="G1717" i="1"/>
  <c r="H1717" i="1"/>
  <c r="I1717" i="1"/>
  <c r="J1717" i="1"/>
  <c r="K1717" i="1"/>
  <c r="A1718" i="1"/>
  <c r="B1718" i="1"/>
  <c r="C1718" i="1"/>
  <c r="D1718" i="1"/>
  <c r="E1718" i="1"/>
  <c r="F1718" i="1"/>
  <c r="G1718" i="1"/>
  <c r="H1718" i="1"/>
  <c r="I1718" i="1"/>
  <c r="J1718" i="1"/>
  <c r="K1718" i="1"/>
  <c r="A1719" i="1"/>
  <c r="B1719" i="1"/>
  <c r="C1719" i="1"/>
  <c r="D1719" i="1"/>
  <c r="E1719" i="1"/>
  <c r="F1719" i="1"/>
  <c r="G1719" i="1"/>
  <c r="H1719" i="1"/>
  <c r="I1719" i="1"/>
  <c r="J1719" i="1"/>
  <c r="K1719" i="1"/>
  <c r="A1720" i="1"/>
  <c r="B1720" i="1"/>
  <c r="C1720" i="1"/>
  <c r="D1720" i="1"/>
  <c r="E1720" i="1"/>
  <c r="F1720" i="1"/>
  <c r="G1720" i="1"/>
  <c r="H1720" i="1"/>
  <c r="I1720" i="1"/>
  <c r="J1720" i="1"/>
  <c r="K1720" i="1"/>
  <c r="A1721" i="1"/>
  <c r="B1721" i="1"/>
  <c r="C1721" i="1"/>
  <c r="D1721" i="1"/>
  <c r="E1721" i="1"/>
  <c r="F1721" i="1"/>
  <c r="G1721" i="1"/>
  <c r="H1721" i="1"/>
  <c r="I1721" i="1"/>
  <c r="J1721" i="1"/>
  <c r="K1721" i="1"/>
  <c r="A1722" i="1"/>
  <c r="B1722" i="1"/>
  <c r="C1722" i="1"/>
  <c r="D1722" i="1"/>
  <c r="E1722" i="1"/>
  <c r="F1722" i="1"/>
  <c r="G1722" i="1"/>
  <c r="H1722" i="1"/>
  <c r="I1722" i="1"/>
  <c r="J1722" i="1"/>
  <c r="K1722" i="1"/>
  <c r="A1723" i="1"/>
  <c r="B1723" i="1"/>
  <c r="C1723" i="1"/>
  <c r="D1723" i="1"/>
  <c r="E1723" i="1"/>
  <c r="F1723" i="1"/>
  <c r="G1723" i="1"/>
  <c r="H1723" i="1"/>
  <c r="I1723" i="1"/>
  <c r="J1723" i="1"/>
  <c r="K1723" i="1"/>
  <c r="A1724" i="1"/>
  <c r="B1724" i="1"/>
  <c r="C1724" i="1"/>
  <c r="D1724" i="1"/>
  <c r="E1724" i="1"/>
  <c r="F1724" i="1"/>
  <c r="G1724" i="1"/>
  <c r="H1724" i="1"/>
  <c r="I1724" i="1"/>
  <c r="J1724" i="1"/>
  <c r="K1724" i="1"/>
  <c r="A1725" i="1"/>
  <c r="B1725" i="1"/>
  <c r="C1725" i="1"/>
  <c r="D1725" i="1"/>
  <c r="E1725" i="1"/>
  <c r="F1725" i="1"/>
  <c r="G1725" i="1"/>
  <c r="H1725" i="1"/>
  <c r="I1725" i="1"/>
  <c r="J1725" i="1"/>
  <c r="K1725" i="1"/>
  <c r="A1726" i="1"/>
  <c r="B1726" i="1"/>
  <c r="C1726" i="1"/>
  <c r="D1726" i="1"/>
  <c r="E1726" i="1"/>
  <c r="F1726" i="1"/>
  <c r="G1726" i="1"/>
  <c r="H1726" i="1"/>
  <c r="I1726" i="1"/>
  <c r="J1726" i="1"/>
  <c r="K1726" i="1"/>
  <c r="A1727" i="1"/>
  <c r="B1727" i="1"/>
  <c r="C1727" i="1"/>
  <c r="D1727" i="1"/>
  <c r="E1727" i="1"/>
  <c r="F1727" i="1"/>
  <c r="G1727" i="1"/>
  <c r="H1727" i="1"/>
  <c r="I1727" i="1"/>
  <c r="J1727" i="1"/>
  <c r="K1727" i="1"/>
  <c r="A1728" i="1"/>
  <c r="B1728" i="1"/>
  <c r="C1728" i="1"/>
  <c r="D1728" i="1"/>
  <c r="E1728" i="1"/>
  <c r="F1728" i="1"/>
  <c r="G1728" i="1"/>
  <c r="H1728" i="1"/>
  <c r="I1728" i="1"/>
  <c r="J1728" i="1"/>
  <c r="K1728" i="1"/>
  <c r="A1729" i="1"/>
  <c r="B1729" i="1"/>
  <c r="C1729" i="1"/>
  <c r="D1729" i="1"/>
  <c r="E1729" i="1"/>
  <c r="F1729" i="1"/>
  <c r="G1729" i="1"/>
  <c r="H1729" i="1"/>
  <c r="I1729" i="1"/>
  <c r="J1729" i="1"/>
  <c r="K1729" i="1"/>
  <c r="A1730" i="1"/>
  <c r="B1730" i="1"/>
  <c r="C1730" i="1"/>
  <c r="D1730" i="1"/>
  <c r="E1730" i="1"/>
  <c r="F1730" i="1"/>
  <c r="G1730" i="1"/>
  <c r="H1730" i="1"/>
  <c r="I1730" i="1"/>
  <c r="J1730" i="1"/>
  <c r="K1730" i="1"/>
  <c r="A1731" i="1"/>
  <c r="B1731" i="1"/>
  <c r="C1731" i="1"/>
  <c r="D1731" i="1"/>
  <c r="E1731" i="1"/>
  <c r="F1731" i="1"/>
  <c r="G1731" i="1"/>
  <c r="H1731" i="1"/>
  <c r="I1731" i="1"/>
  <c r="J1731" i="1"/>
  <c r="K1731" i="1"/>
  <c r="A1732" i="1"/>
  <c r="B1732" i="1"/>
  <c r="C1732" i="1"/>
  <c r="D1732" i="1"/>
  <c r="E1732" i="1"/>
  <c r="F1732" i="1"/>
  <c r="G1732" i="1"/>
  <c r="H1732" i="1"/>
  <c r="I1732" i="1"/>
  <c r="J1732" i="1"/>
  <c r="K1732" i="1"/>
  <c r="A1733" i="1"/>
  <c r="B1733" i="1"/>
  <c r="C1733" i="1"/>
  <c r="D1733" i="1"/>
  <c r="E1733" i="1"/>
  <c r="F1733" i="1"/>
  <c r="G1733" i="1"/>
  <c r="H1733" i="1"/>
  <c r="I1733" i="1"/>
  <c r="J1733" i="1"/>
  <c r="K1733" i="1"/>
  <c r="A1734" i="1"/>
  <c r="B1734" i="1"/>
  <c r="C1734" i="1"/>
  <c r="D1734" i="1"/>
  <c r="E1734" i="1"/>
  <c r="F1734" i="1"/>
  <c r="G1734" i="1"/>
  <c r="H1734" i="1"/>
  <c r="I1734" i="1"/>
  <c r="J1734" i="1"/>
  <c r="K1734" i="1"/>
  <c r="A1735" i="1"/>
  <c r="B1735" i="1"/>
  <c r="C1735" i="1"/>
  <c r="D1735" i="1"/>
  <c r="E1735" i="1"/>
  <c r="F1735" i="1"/>
  <c r="G1735" i="1"/>
  <c r="H1735" i="1"/>
  <c r="I1735" i="1"/>
  <c r="J1735" i="1"/>
  <c r="K1735" i="1"/>
  <c r="A1736" i="1"/>
  <c r="B1736" i="1"/>
  <c r="C1736" i="1"/>
  <c r="D1736" i="1"/>
  <c r="E1736" i="1"/>
  <c r="F1736" i="1"/>
  <c r="G1736" i="1"/>
  <c r="H1736" i="1"/>
  <c r="I1736" i="1"/>
  <c r="J1736" i="1"/>
  <c r="K1736" i="1"/>
  <c r="A1737" i="1"/>
  <c r="B1737" i="1"/>
  <c r="C1737" i="1"/>
  <c r="D1737" i="1"/>
  <c r="E1737" i="1"/>
  <c r="F1737" i="1"/>
  <c r="G1737" i="1"/>
  <c r="H1737" i="1"/>
  <c r="I1737" i="1"/>
  <c r="J1737" i="1"/>
  <c r="K1737" i="1"/>
  <c r="A1738" i="1"/>
  <c r="B1738" i="1"/>
  <c r="C1738" i="1"/>
  <c r="D1738" i="1"/>
  <c r="E1738" i="1"/>
  <c r="F1738" i="1"/>
  <c r="G1738" i="1"/>
  <c r="H1738" i="1"/>
  <c r="I1738" i="1"/>
  <c r="J1738" i="1"/>
  <c r="K1738" i="1"/>
  <c r="A1739" i="1"/>
  <c r="B1739" i="1"/>
  <c r="C1739" i="1"/>
  <c r="D1739" i="1"/>
  <c r="E1739" i="1"/>
  <c r="F1739" i="1"/>
  <c r="G1739" i="1"/>
  <c r="H1739" i="1"/>
  <c r="I1739" i="1"/>
  <c r="J1739" i="1"/>
  <c r="K1739" i="1"/>
  <c r="A1740" i="1"/>
  <c r="B1740" i="1"/>
  <c r="C1740" i="1"/>
  <c r="D1740" i="1"/>
  <c r="E1740" i="1"/>
  <c r="F1740" i="1"/>
  <c r="G1740" i="1"/>
  <c r="H1740" i="1"/>
  <c r="I1740" i="1"/>
  <c r="J1740" i="1"/>
  <c r="K1740" i="1"/>
  <c r="A1741" i="1"/>
  <c r="B1741" i="1"/>
  <c r="C1741" i="1"/>
  <c r="D1741" i="1"/>
  <c r="E1741" i="1"/>
  <c r="F1741" i="1"/>
  <c r="G1741" i="1"/>
  <c r="H1741" i="1"/>
  <c r="I1741" i="1"/>
  <c r="J1741" i="1"/>
  <c r="K1741" i="1"/>
  <c r="A1742" i="1"/>
  <c r="B1742" i="1"/>
  <c r="C1742" i="1"/>
  <c r="D1742" i="1"/>
  <c r="E1742" i="1"/>
  <c r="F1742" i="1"/>
  <c r="G1742" i="1"/>
  <c r="H1742" i="1"/>
  <c r="I1742" i="1"/>
  <c r="J1742" i="1"/>
  <c r="K1742" i="1"/>
  <c r="A1743" i="1"/>
  <c r="B1743" i="1"/>
  <c r="C1743" i="1"/>
  <c r="D1743" i="1"/>
  <c r="E1743" i="1"/>
  <c r="F1743" i="1"/>
  <c r="G1743" i="1"/>
  <c r="H1743" i="1"/>
  <c r="I1743" i="1"/>
  <c r="J1743" i="1"/>
  <c r="K1743" i="1"/>
  <c r="A1744" i="1"/>
  <c r="B1744" i="1"/>
  <c r="C1744" i="1"/>
  <c r="D1744" i="1"/>
  <c r="E1744" i="1"/>
  <c r="F1744" i="1"/>
  <c r="G1744" i="1"/>
  <c r="H1744" i="1"/>
  <c r="I1744" i="1"/>
  <c r="J1744" i="1"/>
  <c r="K1744" i="1"/>
  <c r="A1745" i="1"/>
  <c r="B1745" i="1"/>
  <c r="C1745" i="1"/>
  <c r="D1745" i="1"/>
  <c r="E1745" i="1"/>
  <c r="F1745" i="1"/>
  <c r="G1745" i="1"/>
  <c r="H1745" i="1"/>
  <c r="I1745" i="1"/>
  <c r="J1745" i="1"/>
  <c r="K1745" i="1"/>
  <c r="A1746" i="1"/>
  <c r="B1746" i="1"/>
  <c r="C1746" i="1"/>
  <c r="D1746" i="1"/>
  <c r="E1746" i="1"/>
  <c r="F1746" i="1"/>
  <c r="G1746" i="1"/>
  <c r="H1746" i="1"/>
  <c r="I1746" i="1"/>
  <c r="J1746" i="1"/>
  <c r="K1746" i="1"/>
  <c r="A1747" i="1"/>
  <c r="B1747" i="1"/>
  <c r="C1747" i="1"/>
  <c r="D1747" i="1"/>
  <c r="E1747" i="1"/>
  <c r="F1747" i="1"/>
  <c r="G1747" i="1"/>
  <c r="H1747" i="1"/>
  <c r="I1747" i="1"/>
  <c r="J1747" i="1"/>
  <c r="K1747" i="1"/>
  <c r="A1748" i="1"/>
  <c r="B1748" i="1"/>
  <c r="C1748" i="1"/>
  <c r="D1748" i="1"/>
  <c r="E1748" i="1"/>
  <c r="F1748" i="1"/>
  <c r="G1748" i="1"/>
  <c r="H1748" i="1"/>
  <c r="I1748" i="1"/>
  <c r="J1748" i="1"/>
  <c r="K1748" i="1"/>
  <c r="A1749" i="1"/>
  <c r="B1749" i="1"/>
  <c r="C1749" i="1"/>
  <c r="D1749" i="1"/>
  <c r="E1749" i="1"/>
  <c r="F1749" i="1"/>
  <c r="G1749" i="1"/>
  <c r="H1749" i="1"/>
  <c r="I1749" i="1"/>
  <c r="J1749" i="1"/>
  <c r="K1749" i="1"/>
  <c r="A1750" i="1"/>
  <c r="B1750" i="1"/>
  <c r="C1750" i="1"/>
  <c r="D1750" i="1"/>
  <c r="E1750" i="1"/>
  <c r="F1750" i="1"/>
  <c r="G1750" i="1"/>
  <c r="H1750" i="1"/>
  <c r="I1750" i="1"/>
  <c r="J1750" i="1"/>
  <c r="K1750" i="1"/>
  <c r="A1751" i="1"/>
  <c r="B1751" i="1"/>
  <c r="C1751" i="1"/>
  <c r="D1751" i="1"/>
  <c r="E1751" i="1"/>
  <c r="F1751" i="1"/>
  <c r="G1751" i="1"/>
  <c r="H1751" i="1"/>
  <c r="I1751" i="1"/>
  <c r="J1751" i="1"/>
  <c r="K1751" i="1"/>
  <c r="A1752" i="1"/>
  <c r="B1752" i="1"/>
  <c r="C1752" i="1"/>
  <c r="D1752" i="1"/>
  <c r="E1752" i="1"/>
  <c r="F1752" i="1"/>
  <c r="G1752" i="1"/>
  <c r="H1752" i="1"/>
  <c r="I1752" i="1"/>
  <c r="J1752" i="1"/>
  <c r="K1752" i="1"/>
  <c r="A1753" i="1"/>
  <c r="B1753" i="1"/>
  <c r="C1753" i="1"/>
  <c r="D1753" i="1"/>
  <c r="E1753" i="1"/>
  <c r="F1753" i="1"/>
  <c r="G1753" i="1"/>
  <c r="H1753" i="1"/>
  <c r="I1753" i="1"/>
  <c r="J1753" i="1"/>
  <c r="K1753" i="1"/>
  <c r="A1754" i="1"/>
  <c r="B1754" i="1"/>
  <c r="C1754" i="1"/>
  <c r="D1754" i="1"/>
  <c r="E1754" i="1"/>
  <c r="F1754" i="1"/>
  <c r="G1754" i="1"/>
  <c r="H1754" i="1"/>
  <c r="I1754" i="1"/>
  <c r="J1754" i="1"/>
  <c r="K1754" i="1"/>
  <c r="A1755" i="1"/>
  <c r="B1755" i="1"/>
  <c r="C1755" i="1"/>
  <c r="D1755" i="1"/>
  <c r="E1755" i="1"/>
  <c r="F1755" i="1"/>
  <c r="G1755" i="1"/>
  <c r="H1755" i="1"/>
  <c r="I1755" i="1"/>
  <c r="J1755" i="1"/>
  <c r="K1755" i="1"/>
  <c r="A1756" i="1"/>
  <c r="B1756" i="1"/>
  <c r="C1756" i="1"/>
  <c r="D1756" i="1"/>
  <c r="E1756" i="1"/>
  <c r="F1756" i="1"/>
  <c r="G1756" i="1"/>
  <c r="H1756" i="1"/>
  <c r="I1756" i="1"/>
  <c r="J1756" i="1"/>
  <c r="K1756" i="1"/>
  <c r="A1757" i="1"/>
  <c r="B1757" i="1"/>
  <c r="C1757" i="1"/>
  <c r="D1757" i="1"/>
  <c r="E1757" i="1"/>
  <c r="F1757" i="1"/>
  <c r="G1757" i="1"/>
  <c r="H1757" i="1"/>
  <c r="I1757" i="1"/>
  <c r="J1757" i="1"/>
  <c r="K1757" i="1"/>
  <c r="A1758" i="1"/>
  <c r="B1758" i="1"/>
  <c r="C1758" i="1"/>
  <c r="D1758" i="1"/>
  <c r="E1758" i="1"/>
  <c r="F1758" i="1"/>
  <c r="G1758" i="1"/>
  <c r="H1758" i="1"/>
  <c r="I1758" i="1"/>
  <c r="J1758" i="1"/>
  <c r="K1758" i="1"/>
  <c r="A1759" i="1"/>
  <c r="B1759" i="1"/>
  <c r="C1759" i="1"/>
  <c r="D1759" i="1"/>
  <c r="E1759" i="1"/>
  <c r="F1759" i="1"/>
  <c r="G1759" i="1"/>
  <c r="H1759" i="1"/>
  <c r="I1759" i="1"/>
  <c r="J1759" i="1"/>
  <c r="K1759" i="1"/>
  <c r="A1760" i="1"/>
  <c r="B1760" i="1"/>
  <c r="C1760" i="1"/>
  <c r="D1760" i="1"/>
  <c r="E1760" i="1"/>
  <c r="F1760" i="1"/>
  <c r="G1760" i="1"/>
  <c r="H1760" i="1"/>
  <c r="I1760" i="1"/>
  <c r="J1760" i="1"/>
  <c r="K1760" i="1"/>
  <c r="A1761" i="1"/>
  <c r="B1761" i="1"/>
  <c r="C1761" i="1"/>
  <c r="D1761" i="1"/>
  <c r="E1761" i="1"/>
  <c r="F1761" i="1"/>
  <c r="G1761" i="1"/>
  <c r="H1761" i="1"/>
  <c r="I1761" i="1"/>
  <c r="J1761" i="1"/>
  <c r="K1761" i="1"/>
  <c r="A1762" i="1"/>
  <c r="B1762" i="1"/>
  <c r="C1762" i="1"/>
  <c r="D1762" i="1"/>
  <c r="E1762" i="1"/>
  <c r="F1762" i="1"/>
  <c r="G1762" i="1"/>
  <c r="H1762" i="1"/>
  <c r="I1762" i="1"/>
  <c r="J1762" i="1"/>
  <c r="K1762" i="1"/>
  <c r="A1763" i="1"/>
  <c r="B1763" i="1"/>
  <c r="C1763" i="1"/>
  <c r="D1763" i="1"/>
  <c r="E1763" i="1"/>
  <c r="F1763" i="1"/>
  <c r="G1763" i="1"/>
  <c r="H1763" i="1"/>
  <c r="I1763" i="1"/>
  <c r="J1763" i="1"/>
  <c r="K1763" i="1"/>
  <c r="A1764" i="1"/>
  <c r="B1764" i="1"/>
  <c r="C1764" i="1"/>
  <c r="D1764" i="1"/>
  <c r="E1764" i="1"/>
  <c r="F1764" i="1"/>
  <c r="G1764" i="1"/>
  <c r="H1764" i="1"/>
  <c r="I1764" i="1"/>
  <c r="J1764" i="1"/>
  <c r="K1764" i="1"/>
  <c r="A1765" i="1"/>
  <c r="B1765" i="1"/>
  <c r="C1765" i="1"/>
  <c r="D1765" i="1"/>
  <c r="E1765" i="1"/>
  <c r="F1765" i="1"/>
  <c r="G1765" i="1"/>
  <c r="H1765" i="1"/>
  <c r="I1765" i="1"/>
  <c r="J1765" i="1"/>
  <c r="K1765" i="1"/>
  <c r="A1766" i="1"/>
  <c r="B1766" i="1"/>
  <c r="C1766" i="1"/>
  <c r="D1766" i="1"/>
  <c r="E1766" i="1"/>
  <c r="F1766" i="1"/>
  <c r="G1766" i="1"/>
  <c r="H1766" i="1"/>
  <c r="I1766" i="1"/>
  <c r="J1766" i="1"/>
  <c r="K1766" i="1"/>
  <c r="A1767" i="1"/>
  <c r="B1767" i="1"/>
  <c r="C1767" i="1"/>
  <c r="D1767" i="1"/>
  <c r="E1767" i="1"/>
  <c r="F1767" i="1"/>
  <c r="G1767" i="1"/>
  <c r="H1767" i="1"/>
  <c r="I1767" i="1"/>
  <c r="J1767" i="1"/>
  <c r="K1767" i="1"/>
  <c r="A1768" i="1"/>
  <c r="B1768" i="1"/>
  <c r="C1768" i="1"/>
  <c r="D1768" i="1"/>
  <c r="E1768" i="1"/>
  <c r="F1768" i="1"/>
  <c r="G1768" i="1"/>
  <c r="H1768" i="1"/>
  <c r="I1768" i="1"/>
  <c r="J1768" i="1"/>
  <c r="K1768" i="1"/>
  <c r="A1769" i="1"/>
  <c r="B1769" i="1"/>
  <c r="C1769" i="1"/>
  <c r="D1769" i="1"/>
  <c r="E1769" i="1"/>
  <c r="F1769" i="1"/>
  <c r="G1769" i="1"/>
  <c r="H1769" i="1"/>
  <c r="I1769" i="1"/>
  <c r="J1769" i="1"/>
  <c r="K1769" i="1"/>
  <c r="A1770" i="1"/>
  <c r="B1770" i="1"/>
  <c r="C1770" i="1"/>
  <c r="D1770" i="1"/>
  <c r="E1770" i="1"/>
  <c r="F1770" i="1"/>
  <c r="G1770" i="1"/>
  <c r="H1770" i="1"/>
  <c r="I1770" i="1"/>
  <c r="J1770" i="1"/>
  <c r="K1770" i="1"/>
  <c r="A1771" i="1"/>
  <c r="B1771" i="1"/>
  <c r="C1771" i="1"/>
  <c r="D1771" i="1"/>
  <c r="E1771" i="1"/>
  <c r="F1771" i="1"/>
  <c r="G1771" i="1"/>
  <c r="H1771" i="1"/>
  <c r="I1771" i="1"/>
  <c r="J1771" i="1"/>
  <c r="K1771" i="1"/>
  <c r="A1772" i="1"/>
  <c r="B1772" i="1"/>
  <c r="C1772" i="1"/>
  <c r="D1772" i="1"/>
  <c r="E1772" i="1"/>
  <c r="F1772" i="1"/>
  <c r="G1772" i="1"/>
  <c r="H1772" i="1"/>
  <c r="I1772" i="1"/>
  <c r="J1772" i="1"/>
  <c r="K1772" i="1"/>
  <c r="A1773" i="1"/>
  <c r="B1773" i="1"/>
  <c r="C1773" i="1"/>
  <c r="D1773" i="1"/>
  <c r="E1773" i="1"/>
  <c r="F1773" i="1"/>
  <c r="G1773" i="1"/>
  <c r="H1773" i="1"/>
  <c r="I1773" i="1"/>
  <c r="J1773" i="1"/>
  <c r="K1773" i="1"/>
  <c r="A1774" i="1"/>
  <c r="B1774" i="1"/>
  <c r="C1774" i="1"/>
  <c r="D1774" i="1"/>
  <c r="E1774" i="1"/>
  <c r="F1774" i="1"/>
  <c r="G1774" i="1"/>
  <c r="H1774" i="1"/>
  <c r="I1774" i="1"/>
  <c r="J1774" i="1"/>
  <c r="K1774" i="1"/>
  <c r="A1775" i="1"/>
  <c r="B1775" i="1"/>
  <c r="C1775" i="1"/>
  <c r="D1775" i="1"/>
  <c r="E1775" i="1"/>
  <c r="F1775" i="1"/>
  <c r="G1775" i="1"/>
  <c r="H1775" i="1"/>
  <c r="I1775" i="1"/>
  <c r="J1775" i="1"/>
  <c r="K1775" i="1"/>
  <c r="A1776" i="1"/>
  <c r="B1776" i="1"/>
  <c r="C1776" i="1"/>
  <c r="D1776" i="1"/>
  <c r="E1776" i="1"/>
  <c r="F1776" i="1"/>
  <c r="G1776" i="1"/>
  <c r="H1776" i="1"/>
  <c r="I1776" i="1"/>
  <c r="J1776" i="1"/>
  <c r="K1776" i="1"/>
  <c r="A1777" i="1"/>
  <c r="B1777" i="1"/>
  <c r="C1777" i="1"/>
  <c r="D1777" i="1"/>
  <c r="E1777" i="1"/>
  <c r="F1777" i="1"/>
  <c r="G1777" i="1"/>
  <c r="H1777" i="1"/>
  <c r="I1777" i="1"/>
  <c r="J1777" i="1"/>
  <c r="K1777" i="1"/>
  <c r="A1778" i="1"/>
  <c r="B1778" i="1"/>
  <c r="C1778" i="1"/>
  <c r="D1778" i="1"/>
  <c r="E1778" i="1"/>
  <c r="F1778" i="1"/>
  <c r="G1778" i="1"/>
  <c r="H1778" i="1"/>
  <c r="I1778" i="1"/>
  <c r="J1778" i="1"/>
  <c r="K1778" i="1"/>
  <c r="A1779" i="1"/>
  <c r="B1779" i="1"/>
  <c r="C1779" i="1"/>
  <c r="D1779" i="1"/>
  <c r="E1779" i="1"/>
  <c r="F1779" i="1"/>
  <c r="G1779" i="1"/>
  <c r="H1779" i="1"/>
  <c r="I1779" i="1"/>
  <c r="J1779" i="1"/>
  <c r="K1779" i="1"/>
  <c r="A1780" i="1"/>
  <c r="B1780" i="1"/>
  <c r="C1780" i="1"/>
  <c r="D1780" i="1"/>
  <c r="E1780" i="1"/>
  <c r="F1780" i="1"/>
  <c r="G1780" i="1"/>
  <c r="H1780" i="1"/>
  <c r="I1780" i="1"/>
  <c r="J1780" i="1"/>
  <c r="K1780" i="1"/>
  <c r="A1781" i="1"/>
  <c r="B1781" i="1"/>
  <c r="C1781" i="1"/>
  <c r="D1781" i="1"/>
  <c r="E1781" i="1"/>
  <c r="F1781" i="1"/>
  <c r="G1781" i="1"/>
  <c r="H1781" i="1"/>
  <c r="I1781" i="1"/>
  <c r="J1781" i="1"/>
  <c r="K1781" i="1"/>
  <c r="A1782" i="1"/>
  <c r="B1782" i="1"/>
  <c r="C1782" i="1"/>
  <c r="D1782" i="1"/>
  <c r="E1782" i="1"/>
  <c r="F1782" i="1"/>
  <c r="G1782" i="1"/>
  <c r="H1782" i="1"/>
  <c r="I1782" i="1"/>
  <c r="J1782" i="1"/>
  <c r="K1782" i="1"/>
  <c r="A1783" i="1"/>
  <c r="B1783" i="1"/>
  <c r="C1783" i="1"/>
  <c r="D1783" i="1"/>
  <c r="E1783" i="1"/>
  <c r="F1783" i="1"/>
  <c r="G1783" i="1"/>
  <c r="H1783" i="1"/>
  <c r="I1783" i="1"/>
  <c r="J1783" i="1"/>
  <c r="K1783" i="1"/>
  <c r="A1784" i="1"/>
  <c r="B1784" i="1"/>
  <c r="C1784" i="1"/>
  <c r="D1784" i="1"/>
  <c r="E1784" i="1"/>
  <c r="F1784" i="1"/>
  <c r="G1784" i="1"/>
  <c r="H1784" i="1"/>
  <c r="I1784" i="1"/>
  <c r="J1784" i="1"/>
  <c r="K1784" i="1"/>
  <c r="A1785" i="1"/>
  <c r="B1785" i="1"/>
  <c r="C1785" i="1"/>
  <c r="D1785" i="1"/>
  <c r="E1785" i="1"/>
  <c r="F1785" i="1"/>
  <c r="G1785" i="1"/>
  <c r="H1785" i="1"/>
  <c r="I1785" i="1"/>
  <c r="J1785" i="1"/>
  <c r="K1785" i="1"/>
  <c r="A1786" i="1"/>
  <c r="B1786" i="1"/>
  <c r="C1786" i="1"/>
  <c r="D1786" i="1"/>
  <c r="E1786" i="1"/>
  <c r="F1786" i="1"/>
  <c r="G1786" i="1"/>
  <c r="H1786" i="1"/>
  <c r="I1786" i="1"/>
  <c r="J1786" i="1"/>
  <c r="K1786" i="1"/>
  <c r="A1787" i="1"/>
  <c r="B1787" i="1"/>
  <c r="C1787" i="1"/>
  <c r="D1787" i="1"/>
  <c r="E1787" i="1"/>
  <c r="F1787" i="1"/>
  <c r="G1787" i="1"/>
  <c r="H1787" i="1"/>
  <c r="I1787" i="1"/>
  <c r="J1787" i="1"/>
  <c r="K1787" i="1"/>
  <c r="A1788" i="1"/>
  <c r="B1788" i="1"/>
  <c r="C1788" i="1"/>
  <c r="D1788" i="1"/>
  <c r="E1788" i="1"/>
  <c r="F1788" i="1"/>
  <c r="G1788" i="1"/>
  <c r="H1788" i="1"/>
  <c r="I1788" i="1"/>
  <c r="J1788" i="1"/>
  <c r="K1788" i="1"/>
  <c r="A1789" i="1"/>
  <c r="B1789" i="1"/>
  <c r="C1789" i="1"/>
  <c r="D1789" i="1"/>
  <c r="E1789" i="1"/>
  <c r="F1789" i="1"/>
  <c r="G1789" i="1"/>
  <c r="H1789" i="1"/>
  <c r="I1789" i="1"/>
  <c r="J1789" i="1"/>
  <c r="K1789" i="1"/>
  <c r="A1790" i="1"/>
  <c r="B1790" i="1"/>
  <c r="C1790" i="1"/>
  <c r="D1790" i="1"/>
  <c r="E1790" i="1"/>
  <c r="F1790" i="1"/>
  <c r="G1790" i="1"/>
  <c r="H1790" i="1"/>
  <c r="I1790" i="1"/>
  <c r="J1790" i="1"/>
  <c r="K1790" i="1"/>
  <c r="A1791" i="1"/>
  <c r="B1791" i="1"/>
  <c r="C1791" i="1"/>
  <c r="D1791" i="1"/>
  <c r="E1791" i="1"/>
  <c r="F1791" i="1"/>
  <c r="G1791" i="1"/>
  <c r="H1791" i="1"/>
  <c r="I1791" i="1"/>
  <c r="J1791" i="1"/>
  <c r="K1791" i="1"/>
  <c r="A1792" i="1"/>
  <c r="B1792" i="1"/>
  <c r="C1792" i="1"/>
  <c r="D1792" i="1"/>
  <c r="E1792" i="1"/>
  <c r="F1792" i="1"/>
  <c r="G1792" i="1"/>
  <c r="H1792" i="1"/>
  <c r="I1792" i="1"/>
  <c r="J1792" i="1"/>
  <c r="K1792" i="1"/>
  <c r="A1793" i="1"/>
  <c r="B1793" i="1"/>
  <c r="C1793" i="1"/>
  <c r="D1793" i="1"/>
  <c r="E1793" i="1"/>
  <c r="F1793" i="1"/>
  <c r="G1793" i="1"/>
  <c r="H1793" i="1"/>
  <c r="I1793" i="1"/>
  <c r="J1793" i="1"/>
  <c r="K1793" i="1"/>
  <c r="A1794" i="1"/>
  <c r="B1794" i="1"/>
  <c r="C1794" i="1"/>
  <c r="D1794" i="1"/>
  <c r="E1794" i="1"/>
  <c r="F1794" i="1"/>
  <c r="G1794" i="1"/>
  <c r="H1794" i="1"/>
  <c r="I1794" i="1"/>
  <c r="J1794" i="1"/>
  <c r="K1794" i="1"/>
  <c r="A1795" i="1"/>
  <c r="B1795" i="1"/>
  <c r="C1795" i="1"/>
  <c r="D1795" i="1"/>
  <c r="E1795" i="1"/>
  <c r="F1795" i="1"/>
  <c r="G1795" i="1"/>
  <c r="H1795" i="1"/>
  <c r="I1795" i="1"/>
  <c r="J1795" i="1"/>
  <c r="K1795" i="1"/>
  <c r="A1796" i="1"/>
  <c r="B1796" i="1"/>
  <c r="C1796" i="1"/>
  <c r="D1796" i="1"/>
  <c r="E1796" i="1"/>
  <c r="F1796" i="1"/>
  <c r="G1796" i="1"/>
  <c r="H1796" i="1"/>
  <c r="I1796" i="1"/>
  <c r="J1796" i="1"/>
  <c r="K1796" i="1"/>
  <c r="A1797" i="1"/>
  <c r="B1797" i="1"/>
  <c r="C1797" i="1"/>
  <c r="D1797" i="1"/>
  <c r="E1797" i="1"/>
  <c r="F1797" i="1"/>
  <c r="G1797" i="1"/>
  <c r="H1797" i="1"/>
  <c r="I1797" i="1"/>
  <c r="J1797" i="1"/>
  <c r="K1797" i="1"/>
  <c r="A1798" i="1"/>
  <c r="B1798" i="1"/>
  <c r="C1798" i="1"/>
  <c r="D1798" i="1"/>
  <c r="E1798" i="1"/>
  <c r="F1798" i="1"/>
  <c r="G1798" i="1"/>
  <c r="H1798" i="1"/>
  <c r="I1798" i="1"/>
  <c r="J1798" i="1"/>
  <c r="K1798" i="1"/>
  <c r="A1799" i="1"/>
  <c r="B1799" i="1"/>
  <c r="C1799" i="1"/>
  <c r="D1799" i="1"/>
  <c r="E1799" i="1"/>
  <c r="F1799" i="1"/>
  <c r="G1799" i="1"/>
  <c r="H1799" i="1"/>
  <c r="I1799" i="1"/>
  <c r="J1799" i="1"/>
  <c r="K1799" i="1"/>
  <c r="A1800" i="1"/>
  <c r="B1800" i="1"/>
  <c r="C1800" i="1"/>
  <c r="D1800" i="1"/>
  <c r="E1800" i="1"/>
  <c r="F1800" i="1"/>
  <c r="G1800" i="1"/>
  <c r="H1800" i="1"/>
  <c r="I1800" i="1"/>
  <c r="J1800" i="1"/>
  <c r="K1800" i="1"/>
  <c r="A1801" i="1"/>
  <c r="B1801" i="1"/>
  <c r="C1801" i="1"/>
  <c r="D1801" i="1"/>
  <c r="E1801" i="1"/>
  <c r="F1801" i="1"/>
  <c r="G1801" i="1"/>
  <c r="H1801" i="1"/>
  <c r="I1801" i="1"/>
  <c r="J1801" i="1"/>
  <c r="K1801" i="1"/>
  <c r="A1802" i="1"/>
  <c r="B1802" i="1"/>
  <c r="C1802" i="1"/>
  <c r="D1802" i="1"/>
  <c r="E1802" i="1"/>
  <c r="F1802" i="1"/>
  <c r="G1802" i="1"/>
  <c r="H1802" i="1"/>
  <c r="I1802" i="1"/>
  <c r="J1802" i="1"/>
  <c r="K1802" i="1"/>
  <c r="A1803" i="1"/>
  <c r="B1803" i="1"/>
  <c r="C1803" i="1"/>
  <c r="D1803" i="1"/>
  <c r="E1803" i="1"/>
  <c r="F1803" i="1"/>
  <c r="G1803" i="1"/>
  <c r="H1803" i="1"/>
  <c r="I1803" i="1"/>
  <c r="J1803" i="1"/>
  <c r="K1803" i="1"/>
  <c r="A1804" i="1"/>
  <c r="B1804" i="1"/>
  <c r="C1804" i="1"/>
  <c r="D1804" i="1"/>
  <c r="E1804" i="1"/>
  <c r="F1804" i="1"/>
  <c r="G1804" i="1"/>
  <c r="H1804" i="1"/>
  <c r="I1804" i="1"/>
  <c r="J1804" i="1"/>
  <c r="K1804" i="1"/>
  <c r="A1805" i="1"/>
  <c r="B1805" i="1"/>
  <c r="C1805" i="1"/>
  <c r="D1805" i="1"/>
  <c r="E1805" i="1"/>
  <c r="F1805" i="1"/>
  <c r="G1805" i="1"/>
  <c r="H1805" i="1"/>
  <c r="I1805" i="1"/>
  <c r="J1805" i="1"/>
  <c r="K1805" i="1"/>
  <c r="A1806" i="1"/>
  <c r="B1806" i="1"/>
  <c r="C1806" i="1"/>
  <c r="D1806" i="1"/>
  <c r="E1806" i="1"/>
  <c r="F1806" i="1"/>
  <c r="G1806" i="1"/>
  <c r="H1806" i="1"/>
  <c r="I1806" i="1"/>
  <c r="J1806" i="1"/>
  <c r="K1806" i="1"/>
  <c r="A1807" i="1"/>
  <c r="B1807" i="1"/>
  <c r="C1807" i="1"/>
  <c r="D1807" i="1"/>
  <c r="E1807" i="1"/>
  <c r="F1807" i="1"/>
  <c r="G1807" i="1"/>
  <c r="H1807" i="1"/>
  <c r="I1807" i="1"/>
  <c r="J1807" i="1"/>
  <c r="K1807" i="1"/>
  <c r="A1808" i="1"/>
  <c r="B1808" i="1"/>
  <c r="C1808" i="1"/>
  <c r="D1808" i="1"/>
  <c r="E1808" i="1"/>
  <c r="F1808" i="1"/>
  <c r="G1808" i="1"/>
  <c r="H1808" i="1"/>
  <c r="I1808" i="1"/>
  <c r="J1808" i="1"/>
  <c r="K1808" i="1"/>
  <c r="A1809" i="1"/>
  <c r="B1809" i="1"/>
  <c r="C1809" i="1"/>
  <c r="D1809" i="1"/>
  <c r="E1809" i="1"/>
  <c r="F1809" i="1"/>
  <c r="G1809" i="1"/>
  <c r="H1809" i="1"/>
  <c r="I1809" i="1"/>
  <c r="J1809" i="1"/>
  <c r="K1809" i="1"/>
  <c r="A1810" i="1"/>
  <c r="B1810" i="1"/>
  <c r="C1810" i="1"/>
  <c r="D1810" i="1"/>
  <c r="E1810" i="1"/>
  <c r="F1810" i="1"/>
  <c r="G1810" i="1"/>
  <c r="H1810" i="1"/>
  <c r="I1810" i="1"/>
  <c r="J1810" i="1"/>
  <c r="K1810" i="1"/>
  <c r="A1811" i="1"/>
  <c r="B1811" i="1"/>
  <c r="C1811" i="1"/>
  <c r="D1811" i="1"/>
  <c r="E1811" i="1"/>
  <c r="F1811" i="1"/>
  <c r="G1811" i="1"/>
  <c r="H1811" i="1"/>
  <c r="I1811" i="1"/>
  <c r="J1811" i="1"/>
  <c r="K1811" i="1"/>
  <c r="A1812" i="1"/>
  <c r="B1812" i="1"/>
  <c r="C1812" i="1"/>
  <c r="D1812" i="1"/>
  <c r="E1812" i="1"/>
  <c r="F1812" i="1"/>
  <c r="G1812" i="1"/>
  <c r="H1812" i="1"/>
  <c r="I1812" i="1"/>
  <c r="J1812" i="1"/>
  <c r="K1812" i="1"/>
  <c r="A1813" i="1"/>
  <c r="B1813" i="1"/>
  <c r="C1813" i="1"/>
  <c r="D1813" i="1"/>
  <c r="E1813" i="1"/>
  <c r="F1813" i="1"/>
  <c r="G1813" i="1"/>
  <c r="H1813" i="1"/>
  <c r="I1813" i="1"/>
  <c r="J1813" i="1"/>
  <c r="K1813" i="1"/>
  <c r="A1814" i="1"/>
  <c r="B1814" i="1"/>
  <c r="C1814" i="1"/>
  <c r="D1814" i="1"/>
  <c r="E1814" i="1"/>
  <c r="F1814" i="1"/>
  <c r="G1814" i="1"/>
  <c r="H1814" i="1"/>
  <c r="I1814" i="1"/>
  <c r="J1814" i="1"/>
  <c r="K1814" i="1"/>
  <c r="A1815" i="1"/>
  <c r="B1815" i="1"/>
  <c r="C1815" i="1"/>
  <c r="D1815" i="1"/>
  <c r="E1815" i="1"/>
  <c r="F1815" i="1"/>
  <c r="G1815" i="1"/>
  <c r="H1815" i="1"/>
  <c r="I1815" i="1"/>
  <c r="J1815" i="1"/>
  <c r="K1815" i="1"/>
  <c r="A1816" i="1"/>
  <c r="B1816" i="1"/>
  <c r="C1816" i="1"/>
  <c r="D1816" i="1"/>
  <c r="E1816" i="1"/>
  <c r="F1816" i="1"/>
  <c r="G1816" i="1"/>
  <c r="H1816" i="1"/>
  <c r="I1816" i="1"/>
  <c r="J1816" i="1"/>
  <c r="K1816" i="1"/>
  <c r="A1817" i="1"/>
  <c r="B1817" i="1"/>
  <c r="C1817" i="1"/>
  <c r="D1817" i="1"/>
  <c r="E1817" i="1"/>
  <c r="F1817" i="1"/>
  <c r="G1817" i="1"/>
  <c r="H1817" i="1"/>
  <c r="I1817" i="1"/>
  <c r="J1817" i="1"/>
  <c r="K1817" i="1"/>
  <c r="A1818" i="1"/>
  <c r="B1818" i="1"/>
  <c r="C1818" i="1"/>
  <c r="D1818" i="1"/>
  <c r="E1818" i="1"/>
  <c r="F1818" i="1"/>
  <c r="G1818" i="1"/>
  <c r="H1818" i="1"/>
  <c r="I1818" i="1"/>
  <c r="J1818" i="1"/>
  <c r="K1818" i="1"/>
  <c r="A1819" i="1"/>
  <c r="B1819" i="1"/>
  <c r="C1819" i="1"/>
  <c r="D1819" i="1"/>
  <c r="E1819" i="1"/>
  <c r="F1819" i="1"/>
  <c r="G1819" i="1"/>
  <c r="H1819" i="1"/>
  <c r="I1819" i="1"/>
  <c r="J1819" i="1"/>
  <c r="K1819" i="1"/>
  <c r="A1820" i="1"/>
  <c r="B1820" i="1"/>
  <c r="C1820" i="1"/>
  <c r="D1820" i="1"/>
  <c r="E1820" i="1"/>
  <c r="F1820" i="1"/>
  <c r="G1820" i="1"/>
  <c r="H1820" i="1"/>
  <c r="I1820" i="1"/>
  <c r="J1820" i="1"/>
  <c r="K1820" i="1"/>
  <c r="A1821" i="1"/>
  <c r="B1821" i="1"/>
  <c r="C1821" i="1"/>
  <c r="D1821" i="1"/>
  <c r="E1821" i="1"/>
  <c r="F1821" i="1"/>
  <c r="G1821" i="1"/>
  <c r="H1821" i="1"/>
  <c r="I1821" i="1"/>
  <c r="J1821" i="1"/>
  <c r="K1821" i="1"/>
  <c r="A1822" i="1"/>
  <c r="B1822" i="1"/>
  <c r="C1822" i="1"/>
  <c r="D1822" i="1"/>
  <c r="E1822" i="1"/>
  <c r="F1822" i="1"/>
  <c r="G1822" i="1"/>
  <c r="H1822" i="1"/>
  <c r="I1822" i="1"/>
  <c r="J1822" i="1"/>
  <c r="K1822" i="1"/>
  <c r="A1823" i="1"/>
  <c r="B1823" i="1"/>
  <c r="C1823" i="1"/>
  <c r="D1823" i="1"/>
  <c r="E1823" i="1"/>
  <c r="F1823" i="1"/>
  <c r="G1823" i="1"/>
  <c r="H1823" i="1"/>
  <c r="I1823" i="1"/>
  <c r="J1823" i="1"/>
  <c r="K1823" i="1"/>
  <c r="A1824" i="1"/>
  <c r="B1824" i="1"/>
  <c r="C1824" i="1"/>
  <c r="D1824" i="1"/>
  <c r="E1824" i="1"/>
  <c r="F1824" i="1"/>
  <c r="G1824" i="1"/>
  <c r="H1824" i="1"/>
  <c r="I1824" i="1"/>
  <c r="J1824" i="1"/>
  <c r="K1824" i="1"/>
  <c r="A1825" i="1"/>
  <c r="B1825" i="1"/>
  <c r="C1825" i="1"/>
  <c r="D1825" i="1"/>
  <c r="E1825" i="1"/>
  <c r="F1825" i="1"/>
  <c r="G1825" i="1"/>
  <c r="H1825" i="1"/>
  <c r="I1825" i="1"/>
  <c r="J1825" i="1"/>
  <c r="K1825" i="1"/>
  <c r="A1826" i="1"/>
  <c r="B1826" i="1"/>
  <c r="C1826" i="1"/>
  <c r="D1826" i="1"/>
  <c r="E1826" i="1"/>
  <c r="F1826" i="1"/>
  <c r="G1826" i="1"/>
  <c r="H1826" i="1"/>
  <c r="I1826" i="1"/>
  <c r="J1826" i="1"/>
  <c r="K1826" i="1"/>
  <c r="A1827" i="1"/>
  <c r="B1827" i="1"/>
  <c r="C1827" i="1"/>
  <c r="D1827" i="1"/>
  <c r="E1827" i="1"/>
  <c r="F1827" i="1"/>
  <c r="G1827" i="1"/>
  <c r="H1827" i="1"/>
  <c r="I1827" i="1"/>
  <c r="J1827" i="1"/>
  <c r="K1827" i="1"/>
  <c r="A1828" i="1"/>
  <c r="B1828" i="1"/>
  <c r="C1828" i="1"/>
  <c r="D1828" i="1"/>
  <c r="E1828" i="1"/>
  <c r="F1828" i="1"/>
  <c r="G1828" i="1"/>
  <c r="H1828" i="1"/>
  <c r="I1828" i="1"/>
  <c r="J1828" i="1"/>
  <c r="K1828" i="1"/>
  <c r="A1829" i="1"/>
  <c r="B1829" i="1"/>
  <c r="C1829" i="1"/>
  <c r="D1829" i="1"/>
  <c r="E1829" i="1"/>
  <c r="F1829" i="1"/>
  <c r="G1829" i="1"/>
  <c r="H1829" i="1"/>
  <c r="I1829" i="1"/>
  <c r="J1829" i="1"/>
  <c r="K1829" i="1"/>
  <c r="A1830" i="1"/>
  <c r="B1830" i="1"/>
  <c r="C1830" i="1"/>
  <c r="D1830" i="1"/>
  <c r="E1830" i="1"/>
  <c r="F1830" i="1"/>
  <c r="G1830" i="1"/>
  <c r="H1830" i="1"/>
  <c r="I1830" i="1"/>
  <c r="J1830" i="1"/>
  <c r="K1830" i="1"/>
  <c r="A1831" i="1"/>
  <c r="B1831" i="1"/>
  <c r="C1831" i="1"/>
  <c r="D1831" i="1"/>
  <c r="E1831" i="1"/>
  <c r="F1831" i="1"/>
  <c r="G1831" i="1"/>
  <c r="H1831" i="1"/>
  <c r="I1831" i="1"/>
  <c r="J1831" i="1"/>
  <c r="K1831" i="1"/>
  <c r="A1832" i="1"/>
  <c r="B1832" i="1"/>
  <c r="C1832" i="1"/>
  <c r="D1832" i="1"/>
  <c r="E1832" i="1"/>
  <c r="F1832" i="1"/>
  <c r="G1832" i="1"/>
  <c r="H1832" i="1"/>
  <c r="I1832" i="1"/>
  <c r="J1832" i="1"/>
  <c r="K1832" i="1"/>
  <c r="A1833" i="1"/>
  <c r="B1833" i="1"/>
  <c r="C1833" i="1"/>
  <c r="D1833" i="1"/>
  <c r="E1833" i="1"/>
  <c r="F1833" i="1"/>
  <c r="G1833" i="1"/>
  <c r="H1833" i="1"/>
  <c r="I1833" i="1"/>
  <c r="J1833" i="1"/>
  <c r="K1833" i="1"/>
  <c r="A1834" i="1"/>
  <c r="B1834" i="1"/>
  <c r="C1834" i="1"/>
  <c r="D1834" i="1"/>
  <c r="E1834" i="1"/>
  <c r="F1834" i="1"/>
  <c r="G1834" i="1"/>
  <c r="H1834" i="1"/>
  <c r="I1834" i="1"/>
  <c r="J1834" i="1"/>
  <c r="K1834" i="1"/>
  <c r="A1835" i="1"/>
  <c r="B1835" i="1"/>
  <c r="C1835" i="1"/>
  <c r="D1835" i="1"/>
  <c r="E1835" i="1"/>
  <c r="F1835" i="1"/>
  <c r="G1835" i="1"/>
  <c r="H1835" i="1"/>
  <c r="I1835" i="1"/>
  <c r="J1835" i="1"/>
  <c r="K1835" i="1"/>
  <c r="A1836" i="1"/>
  <c r="B1836" i="1"/>
  <c r="C1836" i="1"/>
  <c r="D1836" i="1"/>
  <c r="E1836" i="1"/>
  <c r="F1836" i="1"/>
  <c r="G1836" i="1"/>
  <c r="H1836" i="1"/>
  <c r="I1836" i="1"/>
  <c r="J1836" i="1"/>
  <c r="K1836" i="1"/>
  <c r="A1837" i="1"/>
  <c r="B1837" i="1"/>
  <c r="C1837" i="1"/>
  <c r="D1837" i="1"/>
  <c r="E1837" i="1"/>
  <c r="F1837" i="1"/>
  <c r="G1837" i="1"/>
  <c r="H1837" i="1"/>
  <c r="I1837" i="1"/>
  <c r="J1837" i="1"/>
  <c r="K1837" i="1"/>
  <c r="A1838" i="1"/>
  <c r="B1838" i="1"/>
  <c r="C1838" i="1"/>
  <c r="D1838" i="1"/>
  <c r="E1838" i="1"/>
  <c r="F1838" i="1"/>
  <c r="G1838" i="1"/>
  <c r="H1838" i="1"/>
  <c r="I1838" i="1"/>
  <c r="J1838" i="1"/>
  <c r="K1838" i="1"/>
  <c r="A1839" i="1"/>
  <c r="B1839" i="1"/>
  <c r="C1839" i="1"/>
  <c r="D1839" i="1"/>
  <c r="E1839" i="1"/>
  <c r="F1839" i="1"/>
  <c r="G1839" i="1"/>
  <c r="H1839" i="1"/>
  <c r="I1839" i="1"/>
  <c r="J1839" i="1"/>
  <c r="K1839" i="1"/>
  <c r="A1840" i="1"/>
  <c r="B1840" i="1"/>
  <c r="C1840" i="1"/>
  <c r="D1840" i="1"/>
  <c r="E1840" i="1"/>
  <c r="F1840" i="1"/>
  <c r="G1840" i="1"/>
  <c r="H1840" i="1"/>
  <c r="I1840" i="1"/>
  <c r="J1840" i="1"/>
  <c r="K1840" i="1"/>
  <c r="A1841" i="1"/>
  <c r="B1841" i="1"/>
  <c r="C1841" i="1"/>
  <c r="D1841" i="1"/>
  <c r="E1841" i="1"/>
  <c r="F1841" i="1"/>
  <c r="G1841" i="1"/>
  <c r="H1841" i="1"/>
  <c r="I1841" i="1"/>
  <c r="J1841" i="1"/>
  <c r="K1841" i="1"/>
  <c r="A1842" i="1"/>
  <c r="B1842" i="1"/>
  <c r="C1842" i="1"/>
  <c r="D1842" i="1"/>
  <c r="E1842" i="1"/>
  <c r="F1842" i="1"/>
  <c r="G1842" i="1"/>
  <c r="H1842" i="1"/>
  <c r="I1842" i="1"/>
  <c r="J1842" i="1"/>
  <c r="K1842" i="1"/>
  <c r="A1843" i="1"/>
  <c r="B1843" i="1"/>
  <c r="C1843" i="1"/>
  <c r="D1843" i="1"/>
  <c r="E1843" i="1"/>
  <c r="F1843" i="1"/>
  <c r="G1843" i="1"/>
  <c r="H1843" i="1"/>
  <c r="I1843" i="1"/>
  <c r="J1843" i="1"/>
  <c r="K1843" i="1"/>
  <c r="A1844" i="1"/>
  <c r="B1844" i="1"/>
  <c r="C1844" i="1"/>
  <c r="D1844" i="1"/>
  <c r="E1844" i="1"/>
  <c r="F1844" i="1"/>
  <c r="G1844" i="1"/>
  <c r="H1844" i="1"/>
  <c r="I1844" i="1"/>
  <c r="J1844" i="1"/>
  <c r="K1844" i="1"/>
  <c r="A1845" i="1"/>
  <c r="B1845" i="1"/>
  <c r="C1845" i="1"/>
  <c r="D1845" i="1"/>
  <c r="E1845" i="1"/>
  <c r="F1845" i="1"/>
  <c r="G1845" i="1"/>
  <c r="H1845" i="1"/>
  <c r="I1845" i="1"/>
  <c r="J1845" i="1"/>
  <c r="K1845" i="1"/>
  <c r="A1846" i="1"/>
  <c r="B1846" i="1"/>
  <c r="C1846" i="1"/>
  <c r="D1846" i="1"/>
  <c r="E1846" i="1"/>
  <c r="F1846" i="1"/>
  <c r="G1846" i="1"/>
  <c r="H1846" i="1"/>
  <c r="I1846" i="1"/>
  <c r="J1846" i="1"/>
  <c r="K1846" i="1"/>
  <c r="A1847" i="1"/>
  <c r="B1847" i="1"/>
  <c r="C1847" i="1"/>
  <c r="D1847" i="1"/>
  <c r="E1847" i="1"/>
  <c r="F1847" i="1"/>
  <c r="G1847" i="1"/>
  <c r="H1847" i="1"/>
  <c r="I1847" i="1"/>
  <c r="J1847" i="1"/>
  <c r="K1847" i="1"/>
  <c r="A1848" i="1"/>
  <c r="B1848" i="1"/>
  <c r="C1848" i="1"/>
  <c r="D1848" i="1"/>
  <c r="E1848" i="1"/>
  <c r="F1848" i="1"/>
  <c r="G1848" i="1"/>
  <c r="H1848" i="1"/>
  <c r="I1848" i="1"/>
  <c r="J1848" i="1"/>
  <c r="K1848" i="1"/>
  <c r="A1849" i="1"/>
  <c r="B1849" i="1"/>
  <c r="C1849" i="1"/>
  <c r="D1849" i="1"/>
  <c r="E1849" i="1"/>
  <c r="F1849" i="1"/>
  <c r="G1849" i="1"/>
  <c r="H1849" i="1"/>
  <c r="I1849" i="1"/>
  <c r="J1849" i="1"/>
  <c r="K1849" i="1"/>
  <c r="A1850" i="1"/>
  <c r="B1850" i="1"/>
  <c r="C1850" i="1"/>
  <c r="D1850" i="1"/>
  <c r="E1850" i="1"/>
  <c r="F1850" i="1"/>
  <c r="G1850" i="1"/>
  <c r="H1850" i="1"/>
  <c r="I1850" i="1"/>
  <c r="J1850" i="1"/>
  <c r="K1850" i="1"/>
  <c r="A1851" i="1"/>
  <c r="B1851" i="1"/>
  <c r="C1851" i="1"/>
  <c r="D1851" i="1"/>
  <c r="E1851" i="1"/>
  <c r="F1851" i="1"/>
  <c r="G1851" i="1"/>
  <c r="H1851" i="1"/>
  <c r="I1851" i="1"/>
  <c r="J1851" i="1"/>
  <c r="K1851" i="1"/>
  <c r="A1852" i="1"/>
  <c r="B1852" i="1"/>
  <c r="C1852" i="1"/>
  <c r="D1852" i="1"/>
  <c r="E1852" i="1"/>
  <c r="F1852" i="1"/>
  <c r="G1852" i="1"/>
  <c r="H1852" i="1"/>
  <c r="I1852" i="1"/>
  <c r="J1852" i="1"/>
  <c r="K1852" i="1"/>
  <c r="A1853" i="1"/>
  <c r="B1853" i="1"/>
  <c r="C1853" i="1"/>
  <c r="D1853" i="1"/>
  <c r="E1853" i="1"/>
  <c r="F1853" i="1"/>
  <c r="G1853" i="1"/>
  <c r="H1853" i="1"/>
  <c r="I1853" i="1"/>
  <c r="J1853" i="1"/>
  <c r="K1853" i="1"/>
  <c r="A1854" i="1"/>
  <c r="B1854" i="1"/>
  <c r="C1854" i="1"/>
  <c r="D1854" i="1"/>
  <c r="E1854" i="1"/>
  <c r="F1854" i="1"/>
  <c r="G1854" i="1"/>
  <c r="H1854" i="1"/>
  <c r="I1854" i="1"/>
  <c r="J1854" i="1"/>
  <c r="K1854" i="1"/>
  <c r="A1855" i="1"/>
  <c r="B1855" i="1"/>
  <c r="C1855" i="1"/>
  <c r="D1855" i="1"/>
  <c r="E1855" i="1"/>
  <c r="F1855" i="1"/>
  <c r="G1855" i="1"/>
  <c r="H1855" i="1"/>
  <c r="I1855" i="1"/>
  <c r="J1855" i="1"/>
  <c r="K1855" i="1"/>
  <c r="A1856" i="1"/>
  <c r="B1856" i="1"/>
  <c r="C1856" i="1"/>
  <c r="D1856" i="1"/>
  <c r="E1856" i="1"/>
  <c r="F1856" i="1"/>
  <c r="G1856" i="1"/>
  <c r="H1856" i="1"/>
  <c r="I1856" i="1"/>
  <c r="J1856" i="1"/>
  <c r="K1856" i="1"/>
  <c r="A1857" i="1"/>
  <c r="B1857" i="1"/>
  <c r="C1857" i="1"/>
  <c r="D1857" i="1"/>
  <c r="E1857" i="1"/>
  <c r="F1857" i="1"/>
  <c r="G1857" i="1"/>
  <c r="H1857" i="1"/>
  <c r="I1857" i="1"/>
  <c r="J1857" i="1"/>
  <c r="K1857" i="1"/>
  <c r="A1858" i="1"/>
  <c r="B1858" i="1"/>
  <c r="C1858" i="1"/>
  <c r="D1858" i="1"/>
  <c r="E1858" i="1"/>
  <c r="F1858" i="1"/>
  <c r="G1858" i="1"/>
  <c r="H1858" i="1"/>
  <c r="I1858" i="1"/>
  <c r="J1858" i="1"/>
  <c r="K1858" i="1"/>
  <c r="A1859" i="1"/>
  <c r="B1859" i="1"/>
  <c r="C1859" i="1"/>
  <c r="D1859" i="1"/>
  <c r="E1859" i="1"/>
  <c r="F1859" i="1"/>
  <c r="G1859" i="1"/>
  <c r="H1859" i="1"/>
  <c r="I1859" i="1"/>
  <c r="J1859" i="1"/>
  <c r="K1859" i="1"/>
  <c r="A1860" i="1"/>
  <c r="B1860" i="1"/>
  <c r="C1860" i="1"/>
  <c r="D1860" i="1"/>
  <c r="E1860" i="1"/>
  <c r="F1860" i="1"/>
  <c r="G1860" i="1"/>
  <c r="H1860" i="1"/>
  <c r="I1860" i="1"/>
  <c r="J1860" i="1"/>
  <c r="K1860" i="1"/>
  <c r="A1861" i="1"/>
  <c r="B1861" i="1"/>
  <c r="C1861" i="1"/>
  <c r="D1861" i="1"/>
  <c r="E1861" i="1"/>
  <c r="F1861" i="1"/>
  <c r="G1861" i="1"/>
  <c r="H1861" i="1"/>
  <c r="I1861" i="1"/>
  <c r="J1861" i="1"/>
  <c r="K1861" i="1"/>
  <c r="A1862" i="1"/>
  <c r="B1862" i="1"/>
  <c r="C1862" i="1"/>
  <c r="D1862" i="1"/>
  <c r="E1862" i="1"/>
  <c r="F1862" i="1"/>
  <c r="G1862" i="1"/>
  <c r="H1862" i="1"/>
  <c r="I1862" i="1"/>
  <c r="J1862" i="1"/>
  <c r="K1862" i="1"/>
  <c r="A1863" i="1"/>
  <c r="B1863" i="1"/>
  <c r="C1863" i="1"/>
  <c r="D1863" i="1"/>
  <c r="E1863" i="1"/>
  <c r="F1863" i="1"/>
  <c r="G1863" i="1"/>
  <c r="H1863" i="1"/>
  <c r="I1863" i="1"/>
  <c r="J1863" i="1"/>
  <c r="K1863" i="1"/>
  <c r="A1864" i="1"/>
  <c r="B1864" i="1"/>
  <c r="C1864" i="1"/>
  <c r="D1864" i="1"/>
  <c r="E1864" i="1"/>
  <c r="F1864" i="1"/>
  <c r="G1864" i="1"/>
  <c r="H1864" i="1"/>
  <c r="I1864" i="1"/>
  <c r="J1864" i="1"/>
  <c r="K1864" i="1"/>
  <c r="A1865" i="1"/>
  <c r="B1865" i="1"/>
  <c r="C1865" i="1"/>
  <c r="D1865" i="1"/>
  <c r="E1865" i="1"/>
  <c r="F1865" i="1"/>
  <c r="G1865" i="1"/>
  <c r="H1865" i="1"/>
  <c r="I1865" i="1"/>
  <c r="J1865" i="1"/>
  <c r="K1865" i="1"/>
  <c r="A1866" i="1"/>
  <c r="B1866" i="1"/>
  <c r="C1866" i="1"/>
  <c r="D1866" i="1"/>
  <c r="E1866" i="1"/>
  <c r="F1866" i="1"/>
  <c r="G1866" i="1"/>
  <c r="H1866" i="1"/>
  <c r="I1866" i="1"/>
  <c r="J1866" i="1"/>
  <c r="K1866" i="1"/>
  <c r="A1867" i="1"/>
  <c r="B1867" i="1"/>
  <c r="C1867" i="1"/>
  <c r="D1867" i="1"/>
  <c r="E1867" i="1"/>
  <c r="F1867" i="1"/>
  <c r="G1867" i="1"/>
  <c r="H1867" i="1"/>
  <c r="I1867" i="1"/>
  <c r="J1867" i="1"/>
  <c r="K1867" i="1"/>
  <c r="A1868" i="1"/>
  <c r="B1868" i="1"/>
  <c r="C1868" i="1"/>
  <c r="D1868" i="1"/>
  <c r="E1868" i="1"/>
  <c r="F1868" i="1"/>
  <c r="G1868" i="1"/>
  <c r="H1868" i="1"/>
  <c r="I1868" i="1"/>
  <c r="J1868" i="1"/>
  <c r="K1868" i="1"/>
  <c r="A1869" i="1"/>
  <c r="B1869" i="1"/>
  <c r="C1869" i="1"/>
  <c r="D1869" i="1"/>
  <c r="E1869" i="1"/>
  <c r="F1869" i="1"/>
  <c r="G1869" i="1"/>
  <c r="H1869" i="1"/>
  <c r="I1869" i="1"/>
  <c r="J1869" i="1"/>
  <c r="K1869" i="1"/>
  <c r="A1870" i="1"/>
  <c r="B1870" i="1"/>
  <c r="C1870" i="1"/>
  <c r="D1870" i="1"/>
  <c r="E1870" i="1"/>
  <c r="F1870" i="1"/>
  <c r="G1870" i="1"/>
  <c r="H1870" i="1"/>
  <c r="I1870" i="1"/>
  <c r="J1870" i="1"/>
  <c r="K1870" i="1"/>
  <c r="A1871" i="1"/>
  <c r="B1871" i="1"/>
  <c r="C1871" i="1"/>
  <c r="D1871" i="1"/>
  <c r="E1871" i="1"/>
  <c r="F1871" i="1"/>
  <c r="G1871" i="1"/>
  <c r="H1871" i="1"/>
  <c r="I1871" i="1"/>
  <c r="J1871" i="1"/>
  <c r="K1871" i="1"/>
  <c r="A1872" i="1"/>
  <c r="B1872" i="1"/>
  <c r="C1872" i="1"/>
  <c r="D1872" i="1"/>
  <c r="E1872" i="1"/>
  <c r="F1872" i="1"/>
  <c r="G1872" i="1"/>
  <c r="H1872" i="1"/>
  <c r="I1872" i="1"/>
  <c r="J1872" i="1"/>
  <c r="K1872" i="1"/>
  <c r="A1873" i="1"/>
  <c r="B1873" i="1"/>
  <c r="C1873" i="1"/>
  <c r="D1873" i="1"/>
  <c r="E1873" i="1"/>
  <c r="F1873" i="1"/>
  <c r="G1873" i="1"/>
  <c r="H1873" i="1"/>
  <c r="I1873" i="1"/>
  <c r="J1873" i="1"/>
  <c r="K1873" i="1"/>
  <c r="A1874" i="1"/>
  <c r="B1874" i="1"/>
  <c r="C1874" i="1"/>
  <c r="D1874" i="1"/>
  <c r="E1874" i="1"/>
  <c r="F1874" i="1"/>
  <c r="G1874" i="1"/>
  <c r="H1874" i="1"/>
  <c r="I1874" i="1"/>
  <c r="J1874" i="1"/>
  <c r="K1874" i="1"/>
  <c r="A1875" i="1"/>
  <c r="B1875" i="1"/>
  <c r="C1875" i="1"/>
  <c r="D1875" i="1"/>
  <c r="E1875" i="1"/>
  <c r="F1875" i="1"/>
  <c r="G1875" i="1"/>
  <c r="H1875" i="1"/>
  <c r="I1875" i="1"/>
  <c r="J1875" i="1"/>
  <c r="K1875" i="1"/>
  <c r="A1876" i="1"/>
  <c r="B1876" i="1"/>
  <c r="C1876" i="1"/>
  <c r="D1876" i="1"/>
  <c r="E1876" i="1"/>
  <c r="F1876" i="1"/>
  <c r="G1876" i="1"/>
  <c r="H1876" i="1"/>
  <c r="I1876" i="1"/>
  <c r="J1876" i="1"/>
  <c r="K1876" i="1"/>
  <c r="A1877" i="1"/>
  <c r="B1877" i="1"/>
  <c r="C1877" i="1"/>
  <c r="D1877" i="1"/>
  <c r="E1877" i="1"/>
  <c r="F1877" i="1"/>
  <c r="G1877" i="1"/>
  <c r="H1877" i="1"/>
  <c r="I1877" i="1"/>
  <c r="J1877" i="1"/>
  <c r="K1877" i="1"/>
  <c r="A1878" i="1"/>
  <c r="B1878" i="1"/>
  <c r="C1878" i="1"/>
  <c r="D1878" i="1"/>
  <c r="E1878" i="1"/>
  <c r="F1878" i="1"/>
  <c r="G1878" i="1"/>
  <c r="H1878" i="1"/>
  <c r="I1878" i="1"/>
  <c r="J1878" i="1"/>
  <c r="K1878" i="1"/>
  <c r="A1879" i="1"/>
  <c r="B1879" i="1"/>
  <c r="C1879" i="1"/>
  <c r="D1879" i="1"/>
  <c r="E1879" i="1"/>
  <c r="F1879" i="1"/>
  <c r="G1879" i="1"/>
  <c r="H1879" i="1"/>
  <c r="I1879" i="1"/>
  <c r="J1879" i="1"/>
  <c r="K1879" i="1"/>
  <c r="A1880" i="1"/>
  <c r="B1880" i="1"/>
  <c r="C1880" i="1"/>
  <c r="D1880" i="1"/>
  <c r="E1880" i="1"/>
  <c r="F1880" i="1"/>
  <c r="G1880" i="1"/>
  <c r="H1880" i="1"/>
  <c r="I1880" i="1"/>
  <c r="J1880" i="1"/>
  <c r="K1880" i="1"/>
  <c r="A1881" i="1"/>
  <c r="B1881" i="1"/>
  <c r="C1881" i="1"/>
  <c r="D1881" i="1"/>
  <c r="E1881" i="1"/>
  <c r="F1881" i="1"/>
  <c r="G1881" i="1"/>
  <c r="H1881" i="1"/>
  <c r="I1881" i="1"/>
  <c r="J1881" i="1"/>
  <c r="K1881" i="1"/>
  <c r="A1882" i="1"/>
  <c r="B1882" i="1"/>
  <c r="C1882" i="1"/>
  <c r="D1882" i="1"/>
  <c r="E1882" i="1"/>
  <c r="F1882" i="1"/>
  <c r="G1882" i="1"/>
  <c r="H1882" i="1"/>
  <c r="I1882" i="1"/>
  <c r="J1882" i="1"/>
  <c r="K1882" i="1"/>
  <c r="A1883" i="1"/>
  <c r="B1883" i="1"/>
  <c r="C1883" i="1"/>
  <c r="D1883" i="1"/>
  <c r="E1883" i="1"/>
  <c r="F1883" i="1"/>
  <c r="G1883" i="1"/>
  <c r="H1883" i="1"/>
  <c r="I1883" i="1"/>
  <c r="J1883" i="1"/>
  <c r="K1883" i="1"/>
  <c r="A1884" i="1"/>
  <c r="B1884" i="1"/>
  <c r="C1884" i="1"/>
  <c r="D1884" i="1"/>
  <c r="E1884" i="1"/>
  <c r="F1884" i="1"/>
  <c r="G1884" i="1"/>
  <c r="H1884" i="1"/>
  <c r="I1884" i="1"/>
  <c r="J1884" i="1"/>
  <c r="K1884" i="1"/>
  <c r="A1885" i="1"/>
  <c r="B1885" i="1"/>
  <c r="C1885" i="1"/>
  <c r="D1885" i="1"/>
  <c r="E1885" i="1"/>
  <c r="F1885" i="1"/>
  <c r="G1885" i="1"/>
  <c r="H1885" i="1"/>
  <c r="I1885" i="1"/>
  <c r="J1885" i="1"/>
  <c r="K1885" i="1"/>
  <c r="A1886" i="1"/>
  <c r="B1886" i="1"/>
  <c r="C1886" i="1"/>
  <c r="D1886" i="1"/>
  <c r="E1886" i="1"/>
  <c r="F1886" i="1"/>
  <c r="G1886" i="1"/>
  <c r="H1886" i="1"/>
  <c r="I1886" i="1"/>
  <c r="J1886" i="1"/>
  <c r="K1886" i="1"/>
  <c r="A1887" i="1"/>
  <c r="B1887" i="1"/>
  <c r="C1887" i="1"/>
  <c r="D1887" i="1"/>
  <c r="E1887" i="1"/>
  <c r="F1887" i="1"/>
  <c r="G1887" i="1"/>
  <c r="H1887" i="1"/>
  <c r="I1887" i="1"/>
  <c r="J1887" i="1"/>
  <c r="K1887" i="1"/>
  <c r="A1888" i="1"/>
  <c r="B1888" i="1"/>
  <c r="C1888" i="1"/>
  <c r="D1888" i="1"/>
  <c r="E1888" i="1"/>
  <c r="F1888" i="1"/>
  <c r="G1888" i="1"/>
  <c r="H1888" i="1"/>
  <c r="I1888" i="1"/>
  <c r="J1888" i="1"/>
  <c r="K1888" i="1"/>
  <c r="A1889" i="1"/>
  <c r="B1889" i="1"/>
  <c r="C1889" i="1"/>
  <c r="D1889" i="1"/>
  <c r="E1889" i="1"/>
  <c r="F1889" i="1"/>
  <c r="G1889" i="1"/>
  <c r="H1889" i="1"/>
  <c r="I1889" i="1"/>
  <c r="J1889" i="1"/>
  <c r="K1889" i="1"/>
  <c r="A1890" i="1"/>
  <c r="B1890" i="1"/>
  <c r="C1890" i="1"/>
  <c r="D1890" i="1"/>
  <c r="E1890" i="1"/>
  <c r="F1890" i="1"/>
  <c r="G1890" i="1"/>
  <c r="H1890" i="1"/>
  <c r="I1890" i="1"/>
  <c r="J1890" i="1"/>
  <c r="K1890" i="1"/>
  <c r="A1891" i="1"/>
  <c r="B1891" i="1"/>
  <c r="C1891" i="1"/>
  <c r="D1891" i="1"/>
  <c r="E1891" i="1"/>
  <c r="F1891" i="1"/>
  <c r="G1891" i="1"/>
  <c r="H1891" i="1"/>
  <c r="I1891" i="1"/>
  <c r="J1891" i="1"/>
  <c r="K1891" i="1"/>
  <c r="A1892" i="1"/>
  <c r="B1892" i="1"/>
  <c r="C1892" i="1"/>
  <c r="D1892" i="1"/>
  <c r="E1892" i="1"/>
  <c r="F1892" i="1"/>
  <c r="G1892" i="1"/>
  <c r="H1892" i="1"/>
  <c r="I1892" i="1"/>
  <c r="J1892" i="1"/>
  <c r="K1892" i="1"/>
  <c r="A1893" i="1"/>
  <c r="B1893" i="1"/>
  <c r="C1893" i="1"/>
  <c r="D1893" i="1"/>
  <c r="E1893" i="1"/>
  <c r="F1893" i="1"/>
  <c r="G1893" i="1"/>
  <c r="H1893" i="1"/>
  <c r="I1893" i="1"/>
  <c r="J1893" i="1"/>
  <c r="K1893" i="1"/>
  <c r="A1894" i="1"/>
  <c r="B1894" i="1"/>
  <c r="C1894" i="1"/>
  <c r="D1894" i="1"/>
  <c r="E1894" i="1"/>
  <c r="F1894" i="1"/>
  <c r="G1894" i="1"/>
  <c r="H1894" i="1"/>
  <c r="I1894" i="1"/>
  <c r="J1894" i="1"/>
  <c r="K1894" i="1"/>
  <c r="A1895" i="1"/>
  <c r="B1895" i="1"/>
  <c r="C1895" i="1"/>
  <c r="D1895" i="1"/>
  <c r="E1895" i="1"/>
  <c r="F1895" i="1"/>
  <c r="G1895" i="1"/>
  <c r="H1895" i="1"/>
  <c r="I1895" i="1"/>
  <c r="J1895" i="1"/>
  <c r="K1895" i="1"/>
  <c r="A1896" i="1"/>
  <c r="B1896" i="1"/>
  <c r="C1896" i="1"/>
  <c r="D1896" i="1"/>
  <c r="E1896" i="1"/>
  <c r="F1896" i="1"/>
  <c r="G1896" i="1"/>
  <c r="H1896" i="1"/>
  <c r="I1896" i="1"/>
  <c r="J1896" i="1"/>
  <c r="K1896" i="1"/>
  <c r="A1897" i="1"/>
  <c r="B1897" i="1"/>
  <c r="C1897" i="1"/>
  <c r="D1897" i="1"/>
  <c r="E1897" i="1"/>
  <c r="F1897" i="1"/>
  <c r="G1897" i="1"/>
  <c r="H1897" i="1"/>
  <c r="I1897" i="1"/>
  <c r="J1897" i="1"/>
  <c r="K1897" i="1"/>
  <c r="A1898" i="1"/>
  <c r="B1898" i="1"/>
  <c r="C1898" i="1"/>
  <c r="D1898" i="1"/>
  <c r="E1898" i="1"/>
  <c r="F1898" i="1"/>
  <c r="G1898" i="1"/>
  <c r="H1898" i="1"/>
  <c r="I1898" i="1"/>
  <c r="J1898" i="1"/>
  <c r="K1898" i="1"/>
  <c r="A1899" i="1"/>
  <c r="B1899" i="1"/>
  <c r="C1899" i="1"/>
  <c r="D1899" i="1"/>
  <c r="E1899" i="1"/>
  <c r="F1899" i="1"/>
  <c r="G1899" i="1"/>
  <c r="H1899" i="1"/>
  <c r="I1899" i="1"/>
  <c r="J1899" i="1"/>
  <c r="K1899" i="1"/>
  <c r="A1900" i="1"/>
  <c r="B1900" i="1"/>
  <c r="C1900" i="1"/>
  <c r="D1900" i="1"/>
  <c r="E1900" i="1"/>
  <c r="F1900" i="1"/>
  <c r="G1900" i="1"/>
  <c r="H1900" i="1"/>
  <c r="I1900" i="1"/>
  <c r="J1900" i="1"/>
  <c r="K1900" i="1"/>
  <c r="A1901" i="1"/>
  <c r="B1901" i="1"/>
  <c r="C1901" i="1"/>
  <c r="D1901" i="1"/>
  <c r="E1901" i="1"/>
  <c r="F1901" i="1"/>
  <c r="G1901" i="1"/>
  <c r="H1901" i="1"/>
  <c r="I1901" i="1"/>
  <c r="J1901" i="1"/>
  <c r="K1901" i="1"/>
  <c r="A1902" i="1"/>
  <c r="B1902" i="1"/>
  <c r="C1902" i="1"/>
  <c r="D1902" i="1"/>
  <c r="E1902" i="1"/>
  <c r="F1902" i="1"/>
  <c r="G1902" i="1"/>
  <c r="H1902" i="1"/>
  <c r="I1902" i="1"/>
  <c r="J1902" i="1"/>
  <c r="K1902" i="1"/>
  <c r="A1903" i="1"/>
  <c r="B1903" i="1"/>
  <c r="C1903" i="1"/>
  <c r="D1903" i="1"/>
  <c r="E1903" i="1"/>
  <c r="F1903" i="1"/>
  <c r="G1903" i="1"/>
  <c r="H1903" i="1"/>
  <c r="I1903" i="1"/>
  <c r="J1903" i="1"/>
  <c r="K1903" i="1"/>
  <c r="A1904" i="1"/>
  <c r="B1904" i="1"/>
  <c r="C1904" i="1"/>
  <c r="D1904" i="1"/>
  <c r="E1904" i="1"/>
  <c r="F1904" i="1"/>
  <c r="G1904" i="1"/>
  <c r="H1904" i="1"/>
  <c r="I1904" i="1"/>
  <c r="J1904" i="1"/>
  <c r="K1904" i="1"/>
  <c r="A1905" i="1"/>
  <c r="B1905" i="1"/>
  <c r="C1905" i="1"/>
  <c r="D1905" i="1"/>
  <c r="E1905" i="1"/>
  <c r="F1905" i="1"/>
  <c r="G1905" i="1"/>
  <c r="H1905" i="1"/>
  <c r="I1905" i="1"/>
  <c r="J1905" i="1"/>
  <c r="K1905" i="1"/>
  <c r="A1906" i="1"/>
  <c r="B1906" i="1"/>
  <c r="C1906" i="1"/>
  <c r="D1906" i="1"/>
  <c r="E1906" i="1"/>
  <c r="F1906" i="1"/>
  <c r="G1906" i="1"/>
  <c r="H1906" i="1"/>
  <c r="I1906" i="1"/>
  <c r="J1906" i="1"/>
  <c r="K1906" i="1"/>
  <c r="A1907" i="1"/>
  <c r="B1907" i="1"/>
  <c r="C1907" i="1"/>
  <c r="D1907" i="1"/>
  <c r="E1907" i="1"/>
  <c r="F1907" i="1"/>
  <c r="G1907" i="1"/>
  <c r="H1907" i="1"/>
  <c r="I1907" i="1"/>
  <c r="J1907" i="1"/>
  <c r="K1907" i="1"/>
  <c r="A1908" i="1"/>
  <c r="B1908" i="1"/>
  <c r="C1908" i="1"/>
  <c r="D1908" i="1"/>
  <c r="E1908" i="1"/>
  <c r="F1908" i="1"/>
  <c r="G1908" i="1"/>
  <c r="H1908" i="1"/>
  <c r="I1908" i="1"/>
  <c r="J1908" i="1"/>
  <c r="K1908" i="1"/>
  <c r="A1909" i="1"/>
  <c r="B1909" i="1"/>
  <c r="C1909" i="1"/>
  <c r="D1909" i="1"/>
  <c r="E1909" i="1"/>
  <c r="F1909" i="1"/>
  <c r="G1909" i="1"/>
  <c r="H1909" i="1"/>
  <c r="I1909" i="1"/>
  <c r="J1909" i="1"/>
  <c r="K1909" i="1"/>
  <c r="A1910" i="1"/>
  <c r="B1910" i="1"/>
  <c r="C1910" i="1"/>
  <c r="D1910" i="1"/>
  <c r="E1910" i="1"/>
  <c r="F1910" i="1"/>
  <c r="G1910" i="1"/>
  <c r="H1910" i="1"/>
  <c r="I1910" i="1"/>
  <c r="J1910" i="1"/>
  <c r="K1910" i="1"/>
  <c r="A1911" i="1"/>
  <c r="B1911" i="1"/>
  <c r="C1911" i="1"/>
  <c r="D1911" i="1"/>
  <c r="E1911" i="1"/>
  <c r="F1911" i="1"/>
  <c r="G1911" i="1"/>
  <c r="H1911" i="1"/>
  <c r="I1911" i="1"/>
  <c r="J1911" i="1"/>
  <c r="K1911" i="1"/>
  <c r="A1912" i="1"/>
  <c r="B1912" i="1"/>
  <c r="C1912" i="1"/>
  <c r="D1912" i="1"/>
  <c r="E1912" i="1"/>
  <c r="F1912" i="1"/>
  <c r="G1912" i="1"/>
  <c r="H1912" i="1"/>
  <c r="I1912" i="1"/>
  <c r="J1912" i="1"/>
  <c r="K1912" i="1"/>
  <c r="A1913" i="1"/>
  <c r="B1913" i="1"/>
  <c r="C1913" i="1"/>
  <c r="D1913" i="1"/>
  <c r="E1913" i="1"/>
  <c r="F1913" i="1"/>
  <c r="G1913" i="1"/>
  <c r="H1913" i="1"/>
  <c r="I1913" i="1"/>
  <c r="J1913" i="1"/>
  <c r="K1913" i="1"/>
  <c r="A1914" i="1"/>
  <c r="B1914" i="1"/>
  <c r="C1914" i="1"/>
  <c r="D1914" i="1"/>
  <c r="E1914" i="1"/>
  <c r="F1914" i="1"/>
  <c r="G1914" i="1"/>
  <c r="H1914" i="1"/>
  <c r="I1914" i="1"/>
  <c r="J1914" i="1"/>
  <c r="K1914" i="1"/>
  <c r="A1915" i="1"/>
  <c r="B1915" i="1"/>
  <c r="C1915" i="1"/>
  <c r="D1915" i="1"/>
  <c r="E1915" i="1"/>
  <c r="F1915" i="1"/>
  <c r="G1915" i="1"/>
  <c r="H1915" i="1"/>
  <c r="I1915" i="1"/>
  <c r="J1915" i="1"/>
  <c r="K1915" i="1"/>
  <c r="A1916" i="1"/>
  <c r="B1916" i="1"/>
  <c r="C1916" i="1"/>
  <c r="D1916" i="1"/>
  <c r="E1916" i="1"/>
  <c r="F1916" i="1"/>
  <c r="G1916" i="1"/>
  <c r="H1916" i="1"/>
  <c r="I1916" i="1"/>
  <c r="J1916" i="1"/>
  <c r="K1916" i="1"/>
  <c r="A1917" i="1"/>
  <c r="B1917" i="1"/>
  <c r="C1917" i="1"/>
  <c r="D1917" i="1"/>
  <c r="E1917" i="1"/>
  <c r="F1917" i="1"/>
  <c r="G1917" i="1"/>
  <c r="H1917" i="1"/>
  <c r="I1917" i="1"/>
  <c r="J1917" i="1"/>
  <c r="K1917" i="1"/>
  <c r="A1918" i="1"/>
  <c r="B1918" i="1"/>
  <c r="C1918" i="1"/>
  <c r="D1918" i="1"/>
  <c r="E1918" i="1"/>
  <c r="F1918" i="1"/>
  <c r="G1918" i="1"/>
  <c r="H1918" i="1"/>
  <c r="I1918" i="1"/>
  <c r="J1918" i="1"/>
  <c r="K1918" i="1"/>
  <c r="A1919" i="1"/>
  <c r="B1919" i="1"/>
  <c r="C1919" i="1"/>
  <c r="D1919" i="1"/>
  <c r="E1919" i="1"/>
  <c r="F1919" i="1"/>
  <c r="G1919" i="1"/>
  <c r="H1919" i="1"/>
  <c r="I1919" i="1"/>
  <c r="J1919" i="1"/>
  <c r="K1919" i="1"/>
  <c r="A1920" i="1"/>
  <c r="B1920" i="1"/>
  <c r="C1920" i="1"/>
  <c r="D1920" i="1"/>
  <c r="E1920" i="1"/>
  <c r="F1920" i="1"/>
  <c r="G1920" i="1"/>
  <c r="H1920" i="1"/>
  <c r="I1920" i="1"/>
  <c r="J1920" i="1"/>
  <c r="K1920" i="1"/>
  <c r="A1921" i="1"/>
  <c r="B1921" i="1"/>
  <c r="C1921" i="1"/>
  <c r="D1921" i="1"/>
  <c r="E1921" i="1"/>
  <c r="F1921" i="1"/>
  <c r="G1921" i="1"/>
  <c r="H1921" i="1"/>
  <c r="I1921" i="1"/>
  <c r="J1921" i="1"/>
  <c r="K1921" i="1"/>
  <c r="A1922" i="1"/>
  <c r="B1922" i="1"/>
  <c r="C1922" i="1"/>
  <c r="D1922" i="1"/>
  <c r="E1922" i="1"/>
  <c r="F1922" i="1"/>
  <c r="G1922" i="1"/>
  <c r="H1922" i="1"/>
  <c r="I1922" i="1"/>
  <c r="J1922" i="1"/>
  <c r="K1922" i="1"/>
  <c r="A1923" i="1"/>
  <c r="B1923" i="1"/>
  <c r="C1923" i="1"/>
  <c r="D1923" i="1"/>
  <c r="E1923" i="1"/>
  <c r="F1923" i="1"/>
  <c r="G1923" i="1"/>
  <c r="H1923" i="1"/>
  <c r="I1923" i="1"/>
  <c r="J1923" i="1"/>
  <c r="K1923" i="1"/>
  <c r="A1924" i="1"/>
  <c r="B1924" i="1"/>
  <c r="C1924" i="1"/>
  <c r="D1924" i="1"/>
  <c r="E1924" i="1"/>
  <c r="F1924" i="1"/>
  <c r="G1924" i="1"/>
  <c r="H1924" i="1"/>
  <c r="I1924" i="1"/>
  <c r="J1924" i="1"/>
  <c r="K1924" i="1"/>
  <c r="A1925" i="1"/>
  <c r="B1925" i="1"/>
  <c r="C1925" i="1"/>
  <c r="D1925" i="1"/>
  <c r="E1925" i="1"/>
  <c r="F1925" i="1"/>
  <c r="G1925" i="1"/>
  <c r="H1925" i="1"/>
  <c r="I1925" i="1"/>
  <c r="J1925" i="1"/>
  <c r="K1925" i="1"/>
  <c r="A1926" i="1"/>
  <c r="B1926" i="1"/>
  <c r="C1926" i="1"/>
  <c r="D1926" i="1"/>
  <c r="E1926" i="1"/>
  <c r="F1926" i="1"/>
  <c r="G1926" i="1"/>
  <c r="H1926" i="1"/>
  <c r="I1926" i="1"/>
  <c r="J1926" i="1"/>
  <c r="K1926" i="1"/>
  <c r="A1927" i="1"/>
  <c r="B1927" i="1"/>
  <c r="C1927" i="1"/>
  <c r="D1927" i="1"/>
  <c r="E1927" i="1"/>
  <c r="F1927" i="1"/>
  <c r="G1927" i="1"/>
  <c r="H1927" i="1"/>
  <c r="I1927" i="1"/>
  <c r="J1927" i="1"/>
  <c r="K1927" i="1"/>
  <c r="A1928" i="1"/>
  <c r="B1928" i="1"/>
  <c r="C1928" i="1"/>
  <c r="D1928" i="1"/>
  <c r="E1928" i="1"/>
  <c r="F1928" i="1"/>
  <c r="G1928" i="1"/>
  <c r="H1928" i="1"/>
  <c r="I1928" i="1"/>
  <c r="J1928" i="1"/>
  <c r="K1928" i="1"/>
  <c r="A1929" i="1"/>
  <c r="B1929" i="1"/>
  <c r="C1929" i="1"/>
  <c r="D1929" i="1"/>
  <c r="E1929" i="1"/>
  <c r="F1929" i="1"/>
  <c r="G1929" i="1"/>
  <c r="H1929" i="1"/>
  <c r="I1929" i="1"/>
  <c r="J1929" i="1"/>
  <c r="K1929" i="1"/>
  <c r="A1930" i="1"/>
  <c r="B1930" i="1"/>
  <c r="C1930" i="1"/>
  <c r="D1930" i="1"/>
  <c r="E1930" i="1"/>
  <c r="F1930" i="1"/>
  <c r="G1930" i="1"/>
  <c r="H1930" i="1"/>
  <c r="I1930" i="1"/>
  <c r="J1930" i="1"/>
  <c r="K1930" i="1"/>
  <c r="A1931" i="1"/>
  <c r="B1931" i="1"/>
  <c r="C1931" i="1"/>
  <c r="D1931" i="1"/>
  <c r="E1931" i="1"/>
  <c r="F1931" i="1"/>
  <c r="G1931" i="1"/>
  <c r="H1931" i="1"/>
  <c r="I1931" i="1"/>
  <c r="J1931" i="1"/>
  <c r="K1931" i="1"/>
  <c r="A1932" i="1"/>
  <c r="B1932" i="1"/>
  <c r="C1932" i="1"/>
  <c r="D1932" i="1"/>
  <c r="E1932" i="1"/>
  <c r="F1932" i="1"/>
  <c r="G1932" i="1"/>
  <c r="H1932" i="1"/>
  <c r="I1932" i="1"/>
  <c r="J1932" i="1"/>
  <c r="K1932" i="1"/>
  <c r="A1933" i="1"/>
  <c r="B1933" i="1"/>
  <c r="C1933" i="1"/>
  <c r="D1933" i="1"/>
  <c r="E1933" i="1"/>
  <c r="F1933" i="1"/>
  <c r="G1933" i="1"/>
  <c r="H1933" i="1"/>
  <c r="I1933" i="1"/>
  <c r="J1933" i="1"/>
  <c r="K1933" i="1"/>
  <c r="A1934" i="1"/>
  <c r="B1934" i="1"/>
  <c r="C1934" i="1"/>
  <c r="D1934" i="1"/>
  <c r="E1934" i="1"/>
  <c r="F1934" i="1"/>
  <c r="G1934" i="1"/>
  <c r="H1934" i="1"/>
  <c r="I1934" i="1"/>
  <c r="J1934" i="1"/>
  <c r="K1934" i="1"/>
  <c r="A1935" i="1"/>
  <c r="B1935" i="1"/>
  <c r="C1935" i="1"/>
  <c r="D1935" i="1"/>
  <c r="E1935" i="1"/>
  <c r="F1935" i="1"/>
  <c r="G1935" i="1"/>
  <c r="H1935" i="1"/>
  <c r="I1935" i="1"/>
  <c r="J1935" i="1"/>
  <c r="K1935" i="1"/>
  <c r="A1936" i="1"/>
  <c r="B1936" i="1"/>
  <c r="C1936" i="1"/>
  <c r="D1936" i="1"/>
  <c r="E1936" i="1"/>
  <c r="F1936" i="1"/>
  <c r="G1936" i="1"/>
  <c r="H1936" i="1"/>
  <c r="I1936" i="1"/>
  <c r="J1936" i="1"/>
  <c r="K1936" i="1"/>
  <c r="A1937" i="1"/>
  <c r="B1937" i="1"/>
  <c r="C1937" i="1"/>
  <c r="D1937" i="1"/>
  <c r="E1937" i="1"/>
  <c r="F1937" i="1"/>
  <c r="G1937" i="1"/>
  <c r="H1937" i="1"/>
  <c r="I1937" i="1"/>
  <c r="J1937" i="1"/>
  <c r="K1937" i="1"/>
  <c r="A1938" i="1"/>
  <c r="B1938" i="1"/>
  <c r="C1938" i="1"/>
  <c r="D1938" i="1"/>
  <c r="E1938" i="1"/>
  <c r="F1938" i="1"/>
  <c r="G1938" i="1"/>
  <c r="H1938" i="1"/>
  <c r="I1938" i="1"/>
  <c r="J1938" i="1"/>
  <c r="K1938" i="1"/>
  <c r="A1939" i="1"/>
  <c r="B1939" i="1"/>
  <c r="C1939" i="1"/>
  <c r="D1939" i="1"/>
  <c r="E1939" i="1"/>
  <c r="F1939" i="1"/>
  <c r="G1939" i="1"/>
  <c r="H1939" i="1"/>
  <c r="I1939" i="1"/>
  <c r="J1939" i="1"/>
  <c r="K1939" i="1"/>
  <c r="A1940" i="1"/>
  <c r="B1940" i="1"/>
  <c r="C1940" i="1"/>
  <c r="D1940" i="1"/>
  <c r="E1940" i="1"/>
  <c r="F1940" i="1"/>
  <c r="G1940" i="1"/>
  <c r="H1940" i="1"/>
  <c r="I1940" i="1"/>
  <c r="J1940" i="1"/>
  <c r="K1940" i="1"/>
  <c r="A1941" i="1"/>
  <c r="B1941" i="1"/>
  <c r="C1941" i="1"/>
  <c r="D1941" i="1"/>
  <c r="E1941" i="1"/>
  <c r="F1941" i="1"/>
  <c r="G1941" i="1"/>
  <c r="H1941" i="1"/>
  <c r="I1941" i="1"/>
  <c r="J1941" i="1"/>
  <c r="K1941" i="1"/>
  <c r="A1942" i="1"/>
  <c r="B1942" i="1"/>
  <c r="C1942" i="1"/>
  <c r="D1942" i="1"/>
  <c r="E1942" i="1"/>
  <c r="F1942" i="1"/>
  <c r="G1942" i="1"/>
  <c r="H1942" i="1"/>
  <c r="I1942" i="1"/>
  <c r="J1942" i="1"/>
  <c r="K1942" i="1"/>
  <c r="A1943" i="1"/>
  <c r="B1943" i="1"/>
  <c r="C1943" i="1"/>
  <c r="D1943" i="1"/>
  <c r="E1943" i="1"/>
  <c r="F1943" i="1"/>
  <c r="G1943" i="1"/>
  <c r="H1943" i="1"/>
  <c r="I1943" i="1"/>
  <c r="J1943" i="1"/>
  <c r="K1943" i="1"/>
  <c r="A1944" i="1"/>
  <c r="B1944" i="1"/>
  <c r="C1944" i="1"/>
  <c r="D1944" i="1"/>
  <c r="E1944" i="1"/>
  <c r="F1944" i="1"/>
  <c r="G1944" i="1"/>
  <c r="H1944" i="1"/>
  <c r="I1944" i="1"/>
  <c r="J1944" i="1"/>
  <c r="K1944" i="1"/>
  <c r="A1945" i="1"/>
  <c r="B1945" i="1"/>
  <c r="C1945" i="1"/>
  <c r="D1945" i="1"/>
  <c r="E1945" i="1"/>
  <c r="F1945" i="1"/>
  <c r="G1945" i="1"/>
  <c r="H1945" i="1"/>
  <c r="I1945" i="1"/>
  <c r="J1945" i="1"/>
  <c r="K1945" i="1"/>
  <c r="A1946" i="1"/>
  <c r="B1946" i="1"/>
  <c r="C1946" i="1"/>
  <c r="D1946" i="1"/>
  <c r="E1946" i="1"/>
  <c r="F1946" i="1"/>
  <c r="G1946" i="1"/>
  <c r="H1946" i="1"/>
  <c r="I1946" i="1"/>
  <c r="J1946" i="1"/>
  <c r="K1946" i="1"/>
  <c r="A1947" i="1"/>
  <c r="B1947" i="1"/>
  <c r="C1947" i="1"/>
  <c r="D1947" i="1"/>
  <c r="E1947" i="1"/>
  <c r="F1947" i="1"/>
  <c r="G1947" i="1"/>
  <c r="H1947" i="1"/>
  <c r="I1947" i="1"/>
  <c r="J1947" i="1"/>
  <c r="K1947" i="1"/>
  <c r="A1948" i="1"/>
  <c r="B1948" i="1"/>
  <c r="C1948" i="1"/>
  <c r="D1948" i="1"/>
  <c r="E1948" i="1"/>
  <c r="F1948" i="1"/>
  <c r="G1948" i="1"/>
  <c r="H1948" i="1"/>
  <c r="I1948" i="1"/>
  <c r="J1948" i="1"/>
  <c r="K1948" i="1"/>
  <c r="A1949" i="1"/>
  <c r="B1949" i="1"/>
  <c r="C1949" i="1"/>
  <c r="D1949" i="1"/>
  <c r="E1949" i="1"/>
  <c r="F1949" i="1"/>
  <c r="G1949" i="1"/>
  <c r="H1949" i="1"/>
  <c r="I1949" i="1"/>
  <c r="J1949" i="1"/>
  <c r="K1949" i="1"/>
  <c r="A1950" i="1"/>
  <c r="B1950" i="1"/>
  <c r="C1950" i="1"/>
  <c r="D1950" i="1"/>
  <c r="E1950" i="1"/>
  <c r="F1950" i="1"/>
  <c r="G1950" i="1"/>
  <c r="H1950" i="1"/>
  <c r="I1950" i="1"/>
  <c r="J1950" i="1"/>
  <c r="K1950" i="1"/>
  <c r="A1951" i="1"/>
  <c r="B1951" i="1"/>
  <c r="C1951" i="1"/>
  <c r="D1951" i="1"/>
  <c r="E1951" i="1"/>
  <c r="F1951" i="1"/>
  <c r="G1951" i="1"/>
  <c r="H1951" i="1"/>
  <c r="I1951" i="1"/>
  <c r="J1951" i="1"/>
  <c r="K1951" i="1"/>
  <c r="A1952" i="1"/>
  <c r="B1952" i="1"/>
  <c r="C1952" i="1"/>
  <c r="D1952" i="1"/>
  <c r="E1952" i="1"/>
  <c r="F1952" i="1"/>
  <c r="G1952" i="1"/>
  <c r="H1952" i="1"/>
  <c r="I1952" i="1"/>
  <c r="J1952" i="1"/>
  <c r="K1952" i="1"/>
  <c r="A1953" i="1"/>
  <c r="B1953" i="1"/>
  <c r="C1953" i="1"/>
  <c r="D1953" i="1"/>
  <c r="E1953" i="1"/>
  <c r="F1953" i="1"/>
  <c r="G1953" i="1"/>
  <c r="H1953" i="1"/>
  <c r="I1953" i="1"/>
  <c r="J1953" i="1"/>
  <c r="K1953" i="1"/>
  <c r="A1954" i="1"/>
  <c r="B1954" i="1"/>
  <c r="C1954" i="1"/>
  <c r="D1954" i="1"/>
  <c r="E1954" i="1"/>
  <c r="F1954" i="1"/>
  <c r="G1954" i="1"/>
  <c r="H1954" i="1"/>
  <c r="I1954" i="1"/>
  <c r="J1954" i="1"/>
  <c r="K1954" i="1"/>
  <c r="A1955" i="1"/>
  <c r="B1955" i="1"/>
  <c r="C1955" i="1"/>
  <c r="D1955" i="1"/>
  <c r="E1955" i="1"/>
  <c r="F1955" i="1"/>
  <c r="G1955" i="1"/>
  <c r="H1955" i="1"/>
  <c r="I1955" i="1"/>
  <c r="J1955" i="1"/>
  <c r="K1955" i="1"/>
  <c r="A1956" i="1"/>
  <c r="B1956" i="1"/>
  <c r="C1956" i="1"/>
  <c r="D1956" i="1"/>
  <c r="E1956" i="1"/>
  <c r="F1956" i="1"/>
  <c r="G1956" i="1"/>
  <c r="H1956" i="1"/>
  <c r="I1956" i="1"/>
  <c r="J1956" i="1"/>
  <c r="K1956" i="1"/>
  <c r="A1957" i="1"/>
  <c r="B1957" i="1"/>
  <c r="C1957" i="1"/>
  <c r="D1957" i="1"/>
  <c r="E1957" i="1"/>
  <c r="F1957" i="1"/>
  <c r="G1957" i="1"/>
  <c r="H1957" i="1"/>
  <c r="I1957" i="1"/>
  <c r="J1957" i="1"/>
  <c r="K1957" i="1"/>
  <c r="A1958" i="1"/>
  <c r="B1958" i="1"/>
  <c r="C1958" i="1"/>
  <c r="D1958" i="1"/>
  <c r="E1958" i="1"/>
  <c r="F1958" i="1"/>
  <c r="G1958" i="1"/>
  <c r="H1958" i="1"/>
  <c r="I1958" i="1"/>
  <c r="J1958" i="1"/>
  <c r="K1958" i="1"/>
  <c r="A1959" i="1"/>
  <c r="B1959" i="1"/>
  <c r="C1959" i="1"/>
  <c r="D1959" i="1"/>
  <c r="E1959" i="1"/>
  <c r="F1959" i="1"/>
  <c r="G1959" i="1"/>
  <c r="H1959" i="1"/>
  <c r="I1959" i="1"/>
  <c r="J1959" i="1"/>
  <c r="K1959" i="1"/>
  <c r="A1960" i="1"/>
  <c r="B1960" i="1"/>
  <c r="C1960" i="1"/>
  <c r="D1960" i="1"/>
  <c r="E1960" i="1"/>
  <c r="F1960" i="1"/>
  <c r="G1960" i="1"/>
  <c r="H1960" i="1"/>
  <c r="I1960" i="1"/>
  <c r="J1960" i="1"/>
  <c r="K1960" i="1"/>
  <c r="A1961" i="1"/>
  <c r="B1961" i="1"/>
  <c r="C1961" i="1"/>
  <c r="D1961" i="1"/>
  <c r="E1961" i="1"/>
  <c r="F1961" i="1"/>
  <c r="G1961" i="1"/>
  <c r="H1961" i="1"/>
  <c r="I1961" i="1"/>
  <c r="J1961" i="1"/>
  <c r="K1961" i="1"/>
  <c r="A1962" i="1"/>
  <c r="B1962" i="1"/>
  <c r="C1962" i="1"/>
  <c r="D1962" i="1"/>
  <c r="E1962" i="1"/>
  <c r="F1962" i="1"/>
  <c r="G1962" i="1"/>
  <c r="H1962" i="1"/>
  <c r="I1962" i="1"/>
  <c r="J1962" i="1"/>
  <c r="K1962" i="1"/>
  <c r="A1963" i="1"/>
  <c r="B1963" i="1"/>
  <c r="C1963" i="1"/>
  <c r="D1963" i="1"/>
  <c r="E1963" i="1"/>
  <c r="F1963" i="1"/>
  <c r="G1963" i="1"/>
  <c r="H1963" i="1"/>
  <c r="I1963" i="1"/>
  <c r="J1963" i="1"/>
  <c r="K1963" i="1"/>
  <c r="A1964" i="1"/>
  <c r="B1964" i="1"/>
  <c r="C1964" i="1"/>
  <c r="D1964" i="1"/>
  <c r="E1964" i="1"/>
  <c r="F1964" i="1"/>
  <c r="G1964" i="1"/>
  <c r="H1964" i="1"/>
  <c r="I1964" i="1"/>
  <c r="J1964" i="1"/>
  <c r="K1964" i="1"/>
  <c r="A1965" i="1"/>
  <c r="B1965" i="1"/>
  <c r="C1965" i="1"/>
  <c r="D1965" i="1"/>
  <c r="E1965" i="1"/>
  <c r="F1965" i="1"/>
  <c r="G1965" i="1"/>
  <c r="H1965" i="1"/>
  <c r="I1965" i="1"/>
  <c r="J1965" i="1"/>
  <c r="K1965" i="1"/>
  <c r="A1966" i="1"/>
  <c r="B1966" i="1"/>
  <c r="C1966" i="1"/>
  <c r="D1966" i="1"/>
  <c r="E1966" i="1"/>
  <c r="F1966" i="1"/>
  <c r="G1966" i="1"/>
  <c r="H1966" i="1"/>
  <c r="I1966" i="1"/>
  <c r="J1966" i="1"/>
  <c r="K1966" i="1"/>
  <c r="A1967" i="1"/>
  <c r="B1967" i="1"/>
  <c r="C1967" i="1"/>
  <c r="D1967" i="1"/>
  <c r="E1967" i="1"/>
  <c r="F1967" i="1"/>
  <c r="G1967" i="1"/>
  <c r="H1967" i="1"/>
  <c r="I1967" i="1"/>
  <c r="J1967" i="1"/>
  <c r="K1967" i="1"/>
  <c r="A1968" i="1"/>
  <c r="B1968" i="1"/>
  <c r="C1968" i="1"/>
  <c r="D1968" i="1"/>
  <c r="E1968" i="1"/>
  <c r="F1968" i="1"/>
  <c r="G1968" i="1"/>
  <c r="H1968" i="1"/>
  <c r="I1968" i="1"/>
  <c r="J1968" i="1"/>
  <c r="K1968" i="1"/>
  <c r="A1969" i="1"/>
  <c r="B1969" i="1"/>
  <c r="C1969" i="1"/>
  <c r="D1969" i="1"/>
  <c r="E1969" i="1"/>
  <c r="F1969" i="1"/>
  <c r="G1969" i="1"/>
  <c r="H1969" i="1"/>
  <c r="I1969" i="1"/>
  <c r="J1969" i="1"/>
  <c r="K1969" i="1"/>
  <c r="A1970" i="1"/>
  <c r="B1970" i="1"/>
  <c r="C1970" i="1"/>
  <c r="D1970" i="1"/>
  <c r="E1970" i="1"/>
  <c r="F1970" i="1"/>
  <c r="G1970" i="1"/>
  <c r="H1970" i="1"/>
  <c r="I1970" i="1"/>
  <c r="J1970" i="1"/>
  <c r="K1970" i="1"/>
  <c r="A1971" i="1"/>
  <c r="B1971" i="1"/>
  <c r="C1971" i="1"/>
  <c r="D1971" i="1"/>
  <c r="E1971" i="1"/>
  <c r="F1971" i="1"/>
  <c r="G1971" i="1"/>
  <c r="H1971" i="1"/>
  <c r="I1971" i="1"/>
  <c r="J1971" i="1"/>
  <c r="K1971" i="1"/>
  <c r="A1972" i="1"/>
  <c r="B1972" i="1"/>
  <c r="C1972" i="1"/>
  <c r="D1972" i="1"/>
  <c r="E1972" i="1"/>
  <c r="F1972" i="1"/>
  <c r="G1972" i="1"/>
  <c r="H1972" i="1"/>
  <c r="I1972" i="1"/>
  <c r="J1972" i="1"/>
  <c r="K1972" i="1"/>
  <c r="A1973" i="1"/>
  <c r="B1973" i="1"/>
  <c r="C1973" i="1"/>
  <c r="D1973" i="1"/>
  <c r="E1973" i="1"/>
  <c r="F1973" i="1"/>
  <c r="G1973" i="1"/>
  <c r="H1973" i="1"/>
  <c r="I1973" i="1"/>
  <c r="J1973" i="1"/>
  <c r="K1973" i="1"/>
  <c r="A1974" i="1"/>
  <c r="B1974" i="1"/>
  <c r="C1974" i="1"/>
  <c r="D1974" i="1"/>
  <c r="E1974" i="1"/>
  <c r="F1974" i="1"/>
  <c r="G1974" i="1"/>
  <c r="H1974" i="1"/>
  <c r="I1974" i="1"/>
  <c r="J1974" i="1"/>
  <c r="K1974" i="1"/>
  <c r="A1975" i="1"/>
  <c r="B1975" i="1"/>
  <c r="C1975" i="1"/>
  <c r="D1975" i="1"/>
  <c r="E1975" i="1"/>
  <c r="F1975" i="1"/>
  <c r="G1975" i="1"/>
  <c r="H1975" i="1"/>
  <c r="I1975" i="1"/>
  <c r="J1975" i="1"/>
  <c r="K1975" i="1"/>
  <c r="A1976" i="1"/>
  <c r="B1976" i="1"/>
  <c r="C1976" i="1"/>
  <c r="D1976" i="1"/>
  <c r="E1976" i="1"/>
  <c r="F1976" i="1"/>
  <c r="G1976" i="1"/>
  <c r="H1976" i="1"/>
  <c r="I1976" i="1"/>
  <c r="J1976" i="1"/>
  <c r="K1976" i="1"/>
  <c r="A1977" i="1"/>
  <c r="B1977" i="1"/>
  <c r="C1977" i="1"/>
  <c r="D1977" i="1"/>
  <c r="E1977" i="1"/>
  <c r="F1977" i="1"/>
  <c r="G1977" i="1"/>
  <c r="H1977" i="1"/>
  <c r="I1977" i="1"/>
  <c r="J1977" i="1"/>
  <c r="K1977" i="1"/>
  <c r="A1978" i="1"/>
  <c r="B1978" i="1"/>
  <c r="C1978" i="1"/>
  <c r="D1978" i="1"/>
  <c r="E1978" i="1"/>
  <c r="F1978" i="1"/>
  <c r="G1978" i="1"/>
  <c r="H1978" i="1"/>
  <c r="I1978" i="1"/>
  <c r="J1978" i="1"/>
  <c r="K1978" i="1"/>
  <c r="A1979" i="1"/>
  <c r="B1979" i="1"/>
  <c r="C1979" i="1"/>
  <c r="D1979" i="1"/>
  <c r="E1979" i="1"/>
  <c r="F1979" i="1"/>
  <c r="G1979" i="1"/>
  <c r="H1979" i="1"/>
  <c r="I1979" i="1"/>
  <c r="J1979" i="1"/>
  <c r="K1979" i="1"/>
  <c r="A1980" i="1"/>
  <c r="B1980" i="1"/>
  <c r="C1980" i="1"/>
  <c r="D1980" i="1"/>
  <c r="E1980" i="1"/>
  <c r="F1980" i="1"/>
  <c r="G1980" i="1"/>
  <c r="H1980" i="1"/>
  <c r="I1980" i="1"/>
  <c r="J1980" i="1"/>
  <c r="K1980" i="1"/>
  <c r="A1981" i="1"/>
  <c r="B1981" i="1"/>
  <c r="C1981" i="1"/>
  <c r="D1981" i="1"/>
  <c r="E1981" i="1"/>
  <c r="F1981" i="1"/>
  <c r="G1981" i="1"/>
  <c r="H1981" i="1"/>
  <c r="I1981" i="1"/>
  <c r="J1981" i="1"/>
  <c r="K1981" i="1"/>
  <c r="A1982" i="1"/>
  <c r="B1982" i="1"/>
  <c r="C1982" i="1"/>
  <c r="D1982" i="1"/>
  <c r="E1982" i="1"/>
  <c r="F1982" i="1"/>
  <c r="G1982" i="1"/>
  <c r="H1982" i="1"/>
  <c r="I1982" i="1"/>
  <c r="J1982" i="1"/>
  <c r="K1982" i="1"/>
  <c r="A1983" i="1"/>
  <c r="B1983" i="1"/>
  <c r="C1983" i="1"/>
  <c r="D1983" i="1"/>
  <c r="E1983" i="1"/>
  <c r="F1983" i="1"/>
  <c r="G1983" i="1"/>
  <c r="H1983" i="1"/>
  <c r="I1983" i="1"/>
  <c r="J1983" i="1"/>
  <c r="K1983" i="1"/>
  <c r="A1984" i="1"/>
  <c r="B1984" i="1"/>
  <c r="C1984" i="1"/>
  <c r="D1984" i="1"/>
  <c r="E1984" i="1"/>
  <c r="F1984" i="1"/>
  <c r="G1984" i="1"/>
  <c r="H1984" i="1"/>
  <c r="I1984" i="1"/>
  <c r="J1984" i="1"/>
  <c r="K1984" i="1"/>
  <c r="A1985" i="1"/>
  <c r="B1985" i="1"/>
  <c r="C1985" i="1"/>
  <c r="D1985" i="1"/>
  <c r="E1985" i="1"/>
  <c r="F1985" i="1"/>
  <c r="G1985" i="1"/>
  <c r="H1985" i="1"/>
  <c r="I1985" i="1"/>
  <c r="J1985" i="1"/>
  <c r="K1985" i="1"/>
  <c r="A1986" i="1"/>
  <c r="B1986" i="1"/>
  <c r="C1986" i="1"/>
  <c r="D1986" i="1"/>
  <c r="E1986" i="1"/>
  <c r="F1986" i="1"/>
  <c r="G1986" i="1"/>
  <c r="H1986" i="1"/>
  <c r="I1986" i="1"/>
  <c r="J1986" i="1"/>
  <c r="K1986" i="1"/>
  <c r="A1987" i="1"/>
  <c r="B1987" i="1"/>
  <c r="C1987" i="1"/>
  <c r="D1987" i="1"/>
  <c r="E1987" i="1"/>
  <c r="F1987" i="1"/>
  <c r="G1987" i="1"/>
  <c r="H1987" i="1"/>
  <c r="I1987" i="1"/>
  <c r="J1987" i="1"/>
  <c r="K1987" i="1"/>
  <c r="A1988" i="1"/>
  <c r="B1988" i="1"/>
  <c r="C1988" i="1"/>
  <c r="D1988" i="1"/>
  <c r="E1988" i="1"/>
  <c r="F1988" i="1"/>
  <c r="G1988" i="1"/>
  <c r="H1988" i="1"/>
  <c r="I1988" i="1"/>
  <c r="J1988" i="1"/>
  <c r="K1988" i="1"/>
  <c r="A1989" i="1"/>
  <c r="B1989" i="1"/>
  <c r="C1989" i="1"/>
  <c r="D1989" i="1"/>
  <c r="E1989" i="1"/>
  <c r="F1989" i="1"/>
  <c r="G1989" i="1"/>
  <c r="H1989" i="1"/>
  <c r="I1989" i="1"/>
  <c r="J1989" i="1"/>
  <c r="K1989" i="1"/>
  <c r="A1990" i="1"/>
  <c r="B1990" i="1"/>
  <c r="C1990" i="1"/>
  <c r="D1990" i="1"/>
  <c r="E1990" i="1"/>
  <c r="F1990" i="1"/>
  <c r="G1990" i="1"/>
  <c r="H1990" i="1"/>
  <c r="I1990" i="1"/>
  <c r="J1990" i="1"/>
  <c r="K1990" i="1"/>
  <c r="A1991" i="1"/>
  <c r="B1991" i="1"/>
  <c r="C1991" i="1"/>
  <c r="D1991" i="1"/>
  <c r="E1991" i="1"/>
  <c r="F1991" i="1"/>
  <c r="G1991" i="1"/>
  <c r="H1991" i="1"/>
  <c r="I1991" i="1"/>
  <c r="J1991" i="1"/>
  <c r="K1991" i="1"/>
  <c r="A1992" i="1"/>
  <c r="B1992" i="1"/>
  <c r="C1992" i="1"/>
  <c r="D1992" i="1"/>
  <c r="E1992" i="1"/>
  <c r="F1992" i="1"/>
  <c r="G1992" i="1"/>
  <c r="H1992" i="1"/>
  <c r="I1992" i="1"/>
  <c r="J1992" i="1"/>
  <c r="K1992" i="1"/>
  <c r="A1993" i="1"/>
  <c r="B1993" i="1"/>
  <c r="C1993" i="1"/>
  <c r="D1993" i="1"/>
  <c r="E1993" i="1"/>
  <c r="F1993" i="1"/>
  <c r="G1993" i="1"/>
  <c r="H1993" i="1"/>
  <c r="I1993" i="1"/>
  <c r="J1993" i="1"/>
  <c r="K1993" i="1"/>
  <c r="A1994" i="1"/>
  <c r="B1994" i="1"/>
  <c r="C1994" i="1"/>
  <c r="D1994" i="1"/>
  <c r="E1994" i="1"/>
  <c r="F1994" i="1"/>
  <c r="G1994" i="1"/>
  <c r="H1994" i="1"/>
  <c r="I1994" i="1"/>
  <c r="J1994" i="1"/>
  <c r="K1994" i="1"/>
  <c r="A1995" i="1"/>
  <c r="B1995" i="1"/>
  <c r="C1995" i="1"/>
  <c r="D1995" i="1"/>
  <c r="E1995" i="1"/>
  <c r="F1995" i="1"/>
  <c r="G1995" i="1"/>
  <c r="H1995" i="1"/>
  <c r="I1995" i="1"/>
  <c r="J1995" i="1"/>
  <c r="K1995" i="1"/>
  <c r="A1996" i="1"/>
  <c r="B1996" i="1"/>
  <c r="C1996" i="1"/>
  <c r="D1996" i="1"/>
  <c r="E1996" i="1"/>
  <c r="F1996" i="1"/>
  <c r="G1996" i="1"/>
  <c r="H1996" i="1"/>
  <c r="I1996" i="1"/>
  <c r="J1996" i="1"/>
  <c r="K1996" i="1"/>
  <c r="A1997" i="1"/>
  <c r="B1997" i="1"/>
  <c r="C1997" i="1"/>
  <c r="D1997" i="1"/>
  <c r="E1997" i="1"/>
  <c r="F1997" i="1"/>
  <c r="G1997" i="1"/>
  <c r="H1997" i="1"/>
  <c r="I1997" i="1"/>
  <c r="J1997" i="1"/>
  <c r="K1997" i="1"/>
  <c r="A1998" i="1"/>
  <c r="B1998" i="1"/>
  <c r="C1998" i="1"/>
  <c r="D1998" i="1"/>
  <c r="E1998" i="1"/>
  <c r="F1998" i="1"/>
  <c r="G1998" i="1"/>
  <c r="H1998" i="1"/>
  <c r="I1998" i="1"/>
  <c r="J1998" i="1"/>
  <c r="K1998" i="1"/>
  <c r="A1999" i="1"/>
  <c r="B1999" i="1"/>
  <c r="C1999" i="1"/>
  <c r="D1999" i="1"/>
  <c r="E1999" i="1"/>
  <c r="F1999" i="1"/>
  <c r="G1999" i="1"/>
  <c r="H1999" i="1"/>
  <c r="I1999" i="1"/>
  <c r="J1999" i="1"/>
  <c r="K1999" i="1"/>
  <c r="A2000" i="1"/>
  <c r="B2000" i="1"/>
  <c r="C2000" i="1"/>
  <c r="D2000" i="1"/>
  <c r="E2000" i="1"/>
  <c r="F2000" i="1"/>
  <c r="G2000" i="1"/>
  <c r="H2000" i="1"/>
  <c r="I2000" i="1"/>
  <c r="J2000" i="1"/>
  <c r="K2000" i="1"/>
  <c r="A2001" i="1"/>
  <c r="B2001" i="1"/>
  <c r="C2001" i="1"/>
  <c r="D2001" i="1"/>
  <c r="E2001" i="1"/>
  <c r="F2001" i="1"/>
  <c r="G2001" i="1"/>
  <c r="H2001" i="1"/>
  <c r="I2001" i="1"/>
  <c r="J2001" i="1"/>
  <c r="K2001" i="1"/>
  <c r="A2002" i="1"/>
  <c r="B2002" i="1"/>
  <c r="C2002" i="1"/>
  <c r="D2002" i="1"/>
  <c r="E2002" i="1"/>
  <c r="F2002" i="1"/>
  <c r="G2002" i="1"/>
  <c r="H2002" i="1"/>
  <c r="I2002" i="1"/>
  <c r="J2002" i="1"/>
  <c r="K2002" i="1"/>
  <c r="A2003" i="1"/>
  <c r="B2003" i="1"/>
  <c r="C2003" i="1"/>
  <c r="D2003" i="1"/>
  <c r="E2003" i="1"/>
  <c r="F2003" i="1"/>
  <c r="G2003" i="1"/>
  <c r="H2003" i="1"/>
  <c r="I2003" i="1"/>
  <c r="J2003" i="1"/>
  <c r="K2003" i="1"/>
  <c r="A2004" i="1"/>
  <c r="B2004" i="1"/>
  <c r="C2004" i="1"/>
  <c r="D2004" i="1"/>
  <c r="E2004" i="1"/>
  <c r="F2004" i="1"/>
  <c r="G2004" i="1"/>
  <c r="H2004" i="1"/>
  <c r="I2004" i="1"/>
  <c r="J2004" i="1"/>
  <c r="K2004" i="1"/>
  <c r="A2005" i="1"/>
  <c r="B2005" i="1"/>
  <c r="C2005" i="1"/>
  <c r="D2005" i="1"/>
  <c r="E2005" i="1"/>
  <c r="F2005" i="1"/>
  <c r="G2005" i="1"/>
  <c r="H2005" i="1"/>
  <c r="I2005" i="1"/>
  <c r="J2005" i="1"/>
  <c r="K2005" i="1"/>
  <c r="A2006" i="1"/>
  <c r="B2006" i="1"/>
  <c r="C2006" i="1"/>
  <c r="D2006" i="1"/>
  <c r="E2006" i="1"/>
  <c r="F2006" i="1"/>
  <c r="G2006" i="1"/>
  <c r="H2006" i="1"/>
  <c r="I2006" i="1"/>
  <c r="J2006" i="1"/>
  <c r="K2006" i="1"/>
  <c r="A2007" i="1"/>
  <c r="B2007" i="1"/>
  <c r="C2007" i="1"/>
  <c r="D2007" i="1"/>
  <c r="E2007" i="1"/>
  <c r="F2007" i="1"/>
  <c r="G2007" i="1"/>
  <c r="H2007" i="1"/>
  <c r="I2007" i="1"/>
  <c r="J2007" i="1"/>
  <c r="K2007" i="1"/>
  <c r="A2008" i="1"/>
  <c r="B2008" i="1"/>
  <c r="C2008" i="1"/>
  <c r="D2008" i="1"/>
  <c r="E2008" i="1"/>
  <c r="F2008" i="1"/>
  <c r="G2008" i="1"/>
  <c r="H2008" i="1"/>
  <c r="I2008" i="1"/>
  <c r="J2008" i="1"/>
  <c r="K2008" i="1"/>
  <c r="A2009" i="1"/>
  <c r="B2009" i="1"/>
  <c r="C2009" i="1"/>
  <c r="D2009" i="1"/>
  <c r="E2009" i="1"/>
  <c r="F2009" i="1"/>
  <c r="G2009" i="1"/>
  <c r="H2009" i="1"/>
  <c r="I2009" i="1"/>
  <c r="J2009" i="1"/>
  <c r="K2009" i="1"/>
  <c r="A2010" i="1"/>
  <c r="B2010" i="1"/>
  <c r="C2010" i="1"/>
  <c r="D2010" i="1"/>
  <c r="E2010" i="1"/>
  <c r="F2010" i="1"/>
  <c r="G2010" i="1"/>
  <c r="H2010" i="1"/>
  <c r="I2010" i="1"/>
  <c r="J2010" i="1"/>
  <c r="K2010" i="1"/>
  <c r="A2011" i="1"/>
  <c r="B2011" i="1"/>
  <c r="C2011" i="1"/>
  <c r="D2011" i="1"/>
  <c r="E2011" i="1"/>
  <c r="F2011" i="1"/>
  <c r="G2011" i="1"/>
  <c r="H2011" i="1"/>
  <c r="I2011" i="1"/>
  <c r="J2011" i="1"/>
  <c r="K2011" i="1"/>
  <c r="A2012" i="1"/>
  <c r="B2012" i="1"/>
  <c r="C2012" i="1"/>
  <c r="D2012" i="1"/>
  <c r="E2012" i="1"/>
  <c r="F2012" i="1"/>
  <c r="G2012" i="1"/>
  <c r="H2012" i="1"/>
  <c r="I2012" i="1"/>
  <c r="J2012" i="1"/>
  <c r="K2012" i="1"/>
  <c r="A2013" i="1"/>
  <c r="B2013" i="1"/>
  <c r="C2013" i="1"/>
  <c r="D2013" i="1"/>
  <c r="E2013" i="1"/>
  <c r="F2013" i="1"/>
  <c r="G2013" i="1"/>
  <c r="H2013" i="1"/>
  <c r="I2013" i="1"/>
  <c r="J2013" i="1"/>
  <c r="K2013" i="1"/>
  <c r="A2014" i="1"/>
  <c r="B2014" i="1"/>
  <c r="C2014" i="1"/>
  <c r="D2014" i="1"/>
  <c r="E2014" i="1"/>
  <c r="F2014" i="1"/>
  <c r="G2014" i="1"/>
  <c r="H2014" i="1"/>
  <c r="I2014" i="1"/>
  <c r="J2014" i="1"/>
  <c r="K2014" i="1"/>
  <c r="A2015" i="1"/>
  <c r="B2015" i="1"/>
  <c r="C2015" i="1"/>
  <c r="D2015" i="1"/>
  <c r="E2015" i="1"/>
  <c r="F2015" i="1"/>
  <c r="G2015" i="1"/>
  <c r="H2015" i="1"/>
  <c r="I2015" i="1"/>
  <c r="J2015" i="1"/>
  <c r="K2015" i="1"/>
  <c r="A2016" i="1"/>
  <c r="B2016" i="1"/>
  <c r="C2016" i="1"/>
  <c r="D2016" i="1"/>
  <c r="E2016" i="1"/>
  <c r="F2016" i="1"/>
  <c r="G2016" i="1"/>
  <c r="H2016" i="1"/>
  <c r="I2016" i="1"/>
  <c r="J2016" i="1"/>
  <c r="K2016" i="1"/>
  <c r="A2017" i="1"/>
  <c r="B2017" i="1"/>
  <c r="C2017" i="1"/>
  <c r="D2017" i="1"/>
  <c r="E2017" i="1"/>
  <c r="F2017" i="1"/>
  <c r="G2017" i="1"/>
  <c r="H2017" i="1"/>
  <c r="I2017" i="1"/>
  <c r="J2017" i="1"/>
  <c r="K2017" i="1"/>
  <c r="A2018" i="1"/>
  <c r="B2018" i="1"/>
  <c r="C2018" i="1"/>
  <c r="D2018" i="1"/>
  <c r="E2018" i="1"/>
  <c r="F2018" i="1"/>
  <c r="G2018" i="1"/>
  <c r="H2018" i="1"/>
  <c r="I2018" i="1"/>
  <c r="J2018" i="1"/>
  <c r="K2018" i="1"/>
  <c r="A2019" i="1"/>
  <c r="B2019" i="1"/>
  <c r="C2019" i="1"/>
  <c r="D2019" i="1"/>
  <c r="E2019" i="1"/>
  <c r="F2019" i="1"/>
  <c r="G2019" i="1"/>
  <c r="H2019" i="1"/>
  <c r="I2019" i="1"/>
  <c r="J2019" i="1"/>
  <c r="K2019" i="1"/>
  <c r="A2020" i="1"/>
  <c r="B2020" i="1"/>
  <c r="C2020" i="1"/>
  <c r="D2020" i="1"/>
  <c r="E2020" i="1"/>
  <c r="F2020" i="1"/>
  <c r="G2020" i="1"/>
  <c r="H2020" i="1"/>
  <c r="I2020" i="1"/>
  <c r="J2020" i="1"/>
  <c r="K2020" i="1"/>
  <c r="A2021" i="1"/>
  <c r="B2021" i="1"/>
  <c r="C2021" i="1"/>
  <c r="D2021" i="1"/>
  <c r="E2021" i="1"/>
  <c r="F2021" i="1"/>
  <c r="G2021" i="1"/>
  <c r="H2021" i="1"/>
  <c r="I2021" i="1"/>
  <c r="J2021" i="1"/>
  <c r="K2021" i="1"/>
  <c r="A2022" i="1"/>
  <c r="B2022" i="1"/>
  <c r="C2022" i="1"/>
  <c r="D2022" i="1"/>
  <c r="E2022" i="1"/>
  <c r="F2022" i="1"/>
  <c r="G2022" i="1"/>
  <c r="H2022" i="1"/>
  <c r="I2022" i="1"/>
  <c r="J2022" i="1"/>
  <c r="K2022" i="1"/>
  <c r="A2023" i="1"/>
  <c r="B2023" i="1"/>
  <c r="C2023" i="1"/>
  <c r="D2023" i="1"/>
  <c r="E2023" i="1"/>
  <c r="F2023" i="1"/>
  <c r="G2023" i="1"/>
  <c r="H2023" i="1"/>
  <c r="I2023" i="1"/>
  <c r="J2023" i="1"/>
  <c r="K2023" i="1"/>
  <c r="A2024" i="1"/>
  <c r="B2024" i="1"/>
  <c r="C2024" i="1"/>
  <c r="D2024" i="1"/>
  <c r="E2024" i="1"/>
  <c r="F2024" i="1"/>
  <c r="G2024" i="1"/>
  <c r="H2024" i="1"/>
  <c r="I2024" i="1"/>
  <c r="J2024" i="1"/>
  <c r="K2024" i="1"/>
  <c r="A2025" i="1"/>
  <c r="B2025" i="1"/>
  <c r="C2025" i="1"/>
  <c r="D2025" i="1"/>
  <c r="E2025" i="1"/>
  <c r="F2025" i="1"/>
  <c r="G2025" i="1"/>
  <c r="H2025" i="1"/>
  <c r="I2025" i="1"/>
  <c r="J2025" i="1"/>
  <c r="K2025" i="1"/>
  <c r="A2026" i="1"/>
  <c r="B2026" i="1"/>
  <c r="C2026" i="1"/>
  <c r="D2026" i="1"/>
  <c r="E2026" i="1"/>
  <c r="F2026" i="1"/>
  <c r="G2026" i="1"/>
  <c r="H2026" i="1"/>
  <c r="I2026" i="1"/>
  <c r="J2026" i="1"/>
  <c r="K2026" i="1"/>
  <c r="A2027" i="1"/>
  <c r="B2027" i="1"/>
  <c r="C2027" i="1"/>
  <c r="D2027" i="1"/>
  <c r="E2027" i="1"/>
  <c r="F2027" i="1"/>
  <c r="G2027" i="1"/>
  <c r="H2027" i="1"/>
  <c r="I2027" i="1"/>
  <c r="J2027" i="1"/>
  <c r="K2027" i="1"/>
  <c r="A2028" i="1"/>
  <c r="B2028" i="1"/>
  <c r="C2028" i="1"/>
  <c r="D2028" i="1"/>
  <c r="E2028" i="1"/>
  <c r="F2028" i="1"/>
  <c r="G2028" i="1"/>
  <c r="H2028" i="1"/>
  <c r="I2028" i="1"/>
  <c r="J2028" i="1"/>
  <c r="K2028" i="1"/>
  <c r="A2029" i="1"/>
  <c r="B2029" i="1"/>
  <c r="C2029" i="1"/>
  <c r="D2029" i="1"/>
  <c r="E2029" i="1"/>
  <c r="F2029" i="1"/>
  <c r="G2029" i="1"/>
  <c r="H2029" i="1"/>
  <c r="I2029" i="1"/>
  <c r="J2029" i="1"/>
  <c r="K2029" i="1"/>
  <c r="A2030" i="1"/>
  <c r="B2030" i="1"/>
  <c r="C2030" i="1"/>
  <c r="D2030" i="1"/>
  <c r="E2030" i="1"/>
  <c r="F2030" i="1"/>
  <c r="G2030" i="1"/>
  <c r="H2030" i="1"/>
  <c r="I2030" i="1"/>
  <c r="J2030" i="1"/>
  <c r="K2030" i="1"/>
  <c r="A2031" i="1"/>
  <c r="B2031" i="1"/>
  <c r="C2031" i="1"/>
  <c r="D2031" i="1"/>
  <c r="E2031" i="1"/>
  <c r="F2031" i="1"/>
  <c r="G2031" i="1"/>
  <c r="H2031" i="1"/>
  <c r="I2031" i="1"/>
  <c r="J2031" i="1"/>
  <c r="K2031" i="1"/>
  <c r="A2032" i="1"/>
  <c r="B2032" i="1"/>
  <c r="C2032" i="1"/>
  <c r="D2032" i="1"/>
  <c r="E2032" i="1"/>
  <c r="F2032" i="1"/>
  <c r="G2032" i="1"/>
  <c r="H2032" i="1"/>
  <c r="I2032" i="1"/>
  <c r="J2032" i="1"/>
  <c r="K2032" i="1"/>
  <c r="A2033" i="1"/>
  <c r="B2033" i="1"/>
  <c r="C2033" i="1"/>
  <c r="D2033" i="1"/>
  <c r="E2033" i="1"/>
  <c r="F2033" i="1"/>
  <c r="G2033" i="1"/>
  <c r="H2033" i="1"/>
  <c r="I2033" i="1"/>
  <c r="J2033" i="1"/>
  <c r="K2033" i="1"/>
  <c r="A2034" i="1"/>
  <c r="B2034" i="1"/>
  <c r="C2034" i="1"/>
  <c r="D2034" i="1"/>
  <c r="E2034" i="1"/>
  <c r="F2034" i="1"/>
  <c r="G2034" i="1"/>
  <c r="H2034" i="1"/>
  <c r="I2034" i="1"/>
  <c r="J2034" i="1"/>
  <c r="K2034" i="1"/>
  <c r="A2035" i="1"/>
  <c r="B2035" i="1"/>
  <c r="C2035" i="1"/>
  <c r="D2035" i="1"/>
  <c r="E2035" i="1"/>
  <c r="F2035" i="1"/>
  <c r="G2035" i="1"/>
  <c r="H2035" i="1"/>
  <c r="I2035" i="1"/>
  <c r="J2035" i="1"/>
  <c r="K2035" i="1"/>
  <c r="A2036" i="1"/>
  <c r="B2036" i="1"/>
  <c r="C2036" i="1"/>
  <c r="D2036" i="1"/>
  <c r="E2036" i="1"/>
  <c r="F2036" i="1"/>
  <c r="G2036" i="1"/>
  <c r="H2036" i="1"/>
  <c r="I2036" i="1"/>
  <c r="J2036" i="1"/>
  <c r="K2036" i="1"/>
  <c r="A2037" i="1"/>
  <c r="B2037" i="1"/>
  <c r="C2037" i="1"/>
  <c r="D2037" i="1"/>
  <c r="E2037" i="1"/>
  <c r="F2037" i="1"/>
  <c r="G2037" i="1"/>
  <c r="H2037" i="1"/>
  <c r="I2037" i="1"/>
  <c r="J2037" i="1"/>
  <c r="K2037" i="1"/>
  <c r="A2038" i="1"/>
  <c r="B2038" i="1"/>
  <c r="C2038" i="1"/>
  <c r="D2038" i="1"/>
  <c r="E2038" i="1"/>
  <c r="F2038" i="1"/>
  <c r="G2038" i="1"/>
  <c r="H2038" i="1"/>
  <c r="I2038" i="1"/>
  <c r="J2038" i="1"/>
  <c r="K2038" i="1"/>
  <c r="A2039" i="1"/>
  <c r="B2039" i="1"/>
  <c r="C2039" i="1"/>
  <c r="D2039" i="1"/>
  <c r="E2039" i="1"/>
  <c r="F2039" i="1"/>
  <c r="G2039" i="1"/>
  <c r="H2039" i="1"/>
  <c r="I2039" i="1"/>
  <c r="J2039" i="1"/>
  <c r="K2039" i="1"/>
  <c r="A2040" i="1"/>
  <c r="B2040" i="1"/>
  <c r="C2040" i="1"/>
  <c r="D2040" i="1"/>
  <c r="E2040" i="1"/>
  <c r="F2040" i="1"/>
  <c r="G2040" i="1"/>
  <c r="H2040" i="1"/>
  <c r="I2040" i="1"/>
  <c r="J2040" i="1"/>
  <c r="K2040" i="1"/>
  <c r="A2041" i="1"/>
  <c r="B2041" i="1"/>
  <c r="C2041" i="1"/>
  <c r="D2041" i="1"/>
  <c r="E2041" i="1"/>
  <c r="F2041" i="1"/>
  <c r="G2041" i="1"/>
  <c r="H2041" i="1"/>
  <c r="I2041" i="1"/>
  <c r="J2041" i="1"/>
  <c r="K2041" i="1"/>
  <c r="A2042" i="1"/>
  <c r="B2042" i="1"/>
  <c r="C2042" i="1"/>
  <c r="D2042" i="1"/>
  <c r="E2042" i="1"/>
  <c r="F2042" i="1"/>
  <c r="G2042" i="1"/>
  <c r="H2042" i="1"/>
  <c r="I2042" i="1"/>
  <c r="J2042" i="1"/>
  <c r="K2042" i="1"/>
  <c r="A2043" i="1"/>
  <c r="B2043" i="1"/>
  <c r="C2043" i="1"/>
  <c r="D2043" i="1"/>
  <c r="E2043" i="1"/>
  <c r="F2043" i="1"/>
  <c r="G2043" i="1"/>
  <c r="H2043" i="1"/>
  <c r="I2043" i="1"/>
  <c r="J2043" i="1"/>
  <c r="K2043" i="1"/>
  <c r="A2044" i="1"/>
  <c r="B2044" i="1"/>
  <c r="C2044" i="1"/>
  <c r="D2044" i="1"/>
  <c r="E2044" i="1"/>
  <c r="F2044" i="1"/>
  <c r="G2044" i="1"/>
  <c r="H2044" i="1"/>
  <c r="I2044" i="1"/>
  <c r="J2044" i="1"/>
  <c r="K2044" i="1"/>
  <c r="A2045" i="1"/>
  <c r="B2045" i="1"/>
  <c r="C2045" i="1"/>
  <c r="D2045" i="1"/>
  <c r="E2045" i="1"/>
  <c r="F2045" i="1"/>
  <c r="G2045" i="1"/>
  <c r="H2045" i="1"/>
  <c r="I2045" i="1"/>
  <c r="J2045" i="1"/>
  <c r="K2045" i="1"/>
  <c r="A2046" i="1"/>
  <c r="B2046" i="1"/>
  <c r="C2046" i="1"/>
  <c r="D2046" i="1"/>
  <c r="E2046" i="1"/>
  <c r="F2046" i="1"/>
  <c r="G2046" i="1"/>
  <c r="H2046" i="1"/>
  <c r="I2046" i="1"/>
  <c r="J2046" i="1"/>
  <c r="K2046" i="1"/>
  <c r="A2047" i="1"/>
  <c r="B2047" i="1"/>
  <c r="C2047" i="1"/>
  <c r="D2047" i="1"/>
  <c r="E2047" i="1"/>
  <c r="F2047" i="1"/>
  <c r="G2047" i="1"/>
  <c r="H2047" i="1"/>
  <c r="I2047" i="1"/>
  <c r="J2047" i="1"/>
  <c r="K2047" i="1"/>
  <c r="A2048" i="1"/>
  <c r="B2048" i="1"/>
  <c r="C2048" i="1"/>
  <c r="D2048" i="1"/>
  <c r="E2048" i="1"/>
  <c r="F2048" i="1"/>
  <c r="G2048" i="1"/>
  <c r="H2048" i="1"/>
  <c r="I2048" i="1"/>
  <c r="J2048" i="1"/>
  <c r="K2048" i="1"/>
  <c r="A2049" i="1"/>
  <c r="B2049" i="1"/>
  <c r="C2049" i="1"/>
  <c r="D2049" i="1"/>
  <c r="E2049" i="1"/>
  <c r="F2049" i="1"/>
  <c r="G2049" i="1"/>
  <c r="H2049" i="1"/>
  <c r="I2049" i="1"/>
  <c r="J2049" i="1"/>
  <c r="K2049" i="1"/>
  <c r="A2050" i="1"/>
  <c r="B2050" i="1"/>
  <c r="C2050" i="1"/>
  <c r="D2050" i="1"/>
  <c r="E2050" i="1"/>
  <c r="F2050" i="1"/>
  <c r="G2050" i="1"/>
  <c r="H2050" i="1"/>
  <c r="I2050" i="1"/>
  <c r="J2050" i="1"/>
  <c r="K2050" i="1"/>
  <c r="A2051" i="1"/>
  <c r="B2051" i="1"/>
  <c r="C2051" i="1"/>
  <c r="D2051" i="1"/>
  <c r="E2051" i="1"/>
  <c r="F2051" i="1"/>
  <c r="G2051" i="1"/>
  <c r="H2051" i="1"/>
  <c r="I2051" i="1"/>
  <c r="J2051" i="1"/>
  <c r="K2051" i="1"/>
  <c r="A2052" i="1"/>
  <c r="B2052" i="1"/>
  <c r="C2052" i="1"/>
  <c r="D2052" i="1"/>
  <c r="E2052" i="1"/>
  <c r="F2052" i="1"/>
  <c r="G2052" i="1"/>
  <c r="H2052" i="1"/>
  <c r="I2052" i="1"/>
  <c r="J2052" i="1"/>
  <c r="K2052" i="1"/>
  <c r="A2053" i="1"/>
  <c r="B2053" i="1"/>
  <c r="C2053" i="1"/>
  <c r="D2053" i="1"/>
  <c r="E2053" i="1"/>
  <c r="F2053" i="1"/>
  <c r="G2053" i="1"/>
  <c r="H2053" i="1"/>
  <c r="I2053" i="1"/>
  <c r="J2053" i="1"/>
  <c r="K2053" i="1"/>
  <c r="A2054" i="1"/>
  <c r="B2054" i="1"/>
  <c r="C2054" i="1"/>
  <c r="D2054" i="1"/>
  <c r="E2054" i="1"/>
  <c r="F2054" i="1"/>
  <c r="G2054" i="1"/>
  <c r="H2054" i="1"/>
  <c r="I2054" i="1"/>
  <c r="J2054" i="1"/>
  <c r="K2054" i="1"/>
  <c r="A2055" i="1"/>
  <c r="B2055" i="1"/>
  <c r="C2055" i="1"/>
  <c r="D2055" i="1"/>
  <c r="E2055" i="1"/>
  <c r="F2055" i="1"/>
  <c r="G2055" i="1"/>
  <c r="H2055" i="1"/>
  <c r="I2055" i="1"/>
  <c r="J2055" i="1"/>
  <c r="K2055" i="1"/>
  <c r="A2056" i="1"/>
  <c r="B2056" i="1"/>
  <c r="C2056" i="1"/>
  <c r="D2056" i="1"/>
  <c r="E2056" i="1"/>
  <c r="F2056" i="1"/>
  <c r="G2056" i="1"/>
  <c r="H2056" i="1"/>
  <c r="I2056" i="1"/>
  <c r="J2056" i="1"/>
  <c r="K2056" i="1"/>
  <c r="A2057" i="1"/>
  <c r="B2057" i="1"/>
  <c r="C2057" i="1"/>
  <c r="D2057" i="1"/>
  <c r="E2057" i="1"/>
  <c r="F2057" i="1"/>
  <c r="G2057" i="1"/>
  <c r="H2057" i="1"/>
  <c r="I2057" i="1"/>
  <c r="J2057" i="1"/>
  <c r="K2057" i="1"/>
  <c r="A2058" i="1"/>
  <c r="B2058" i="1"/>
  <c r="C2058" i="1"/>
  <c r="D2058" i="1"/>
  <c r="E2058" i="1"/>
  <c r="F2058" i="1"/>
  <c r="G2058" i="1"/>
  <c r="H2058" i="1"/>
  <c r="I2058" i="1"/>
  <c r="J2058" i="1"/>
  <c r="K2058" i="1"/>
  <c r="A2059" i="1"/>
  <c r="B2059" i="1"/>
  <c r="C2059" i="1"/>
  <c r="D2059" i="1"/>
  <c r="E2059" i="1"/>
  <c r="F2059" i="1"/>
  <c r="G2059" i="1"/>
  <c r="H2059" i="1"/>
  <c r="I2059" i="1"/>
  <c r="J2059" i="1"/>
  <c r="K2059" i="1"/>
  <c r="A2060" i="1"/>
  <c r="B2060" i="1"/>
  <c r="C2060" i="1"/>
  <c r="D2060" i="1"/>
  <c r="E2060" i="1"/>
  <c r="F2060" i="1"/>
  <c r="G2060" i="1"/>
  <c r="H2060" i="1"/>
  <c r="I2060" i="1"/>
  <c r="J2060" i="1"/>
  <c r="K2060" i="1"/>
  <c r="A2061" i="1"/>
  <c r="B2061" i="1"/>
  <c r="C2061" i="1"/>
  <c r="D2061" i="1"/>
  <c r="E2061" i="1"/>
  <c r="F2061" i="1"/>
  <c r="G2061" i="1"/>
  <c r="H2061" i="1"/>
  <c r="I2061" i="1"/>
  <c r="J2061" i="1"/>
  <c r="K2061" i="1"/>
  <c r="A2062" i="1"/>
  <c r="B2062" i="1"/>
  <c r="C2062" i="1"/>
  <c r="D2062" i="1"/>
  <c r="E2062" i="1"/>
  <c r="F2062" i="1"/>
  <c r="G2062" i="1"/>
  <c r="H2062" i="1"/>
  <c r="I2062" i="1"/>
  <c r="J2062" i="1"/>
  <c r="K2062" i="1"/>
  <c r="A2063" i="1"/>
  <c r="B2063" i="1"/>
  <c r="C2063" i="1"/>
  <c r="D2063" i="1"/>
  <c r="E2063" i="1"/>
  <c r="F2063" i="1"/>
  <c r="G2063" i="1"/>
  <c r="H2063" i="1"/>
  <c r="I2063" i="1"/>
  <c r="J2063" i="1"/>
  <c r="K2063" i="1"/>
  <c r="A2064" i="1"/>
  <c r="B2064" i="1"/>
  <c r="C2064" i="1"/>
  <c r="D2064" i="1"/>
  <c r="E2064" i="1"/>
  <c r="F2064" i="1"/>
  <c r="G2064" i="1"/>
  <c r="H2064" i="1"/>
  <c r="I2064" i="1"/>
  <c r="J2064" i="1"/>
  <c r="K2064" i="1"/>
  <c r="A2065" i="1"/>
  <c r="B2065" i="1"/>
  <c r="C2065" i="1"/>
  <c r="D2065" i="1"/>
  <c r="E2065" i="1"/>
  <c r="F2065" i="1"/>
  <c r="G2065" i="1"/>
  <c r="H2065" i="1"/>
  <c r="I2065" i="1"/>
  <c r="J2065" i="1"/>
  <c r="K2065" i="1"/>
  <c r="A2066" i="1"/>
  <c r="B2066" i="1"/>
  <c r="C2066" i="1"/>
  <c r="D2066" i="1"/>
  <c r="E2066" i="1"/>
  <c r="F2066" i="1"/>
  <c r="G2066" i="1"/>
  <c r="H2066" i="1"/>
  <c r="I2066" i="1"/>
  <c r="J2066" i="1"/>
  <c r="K2066" i="1"/>
  <c r="A2067" i="1"/>
  <c r="B2067" i="1"/>
  <c r="C2067" i="1"/>
  <c r="D2067" i="1"/>
  <c r="E2067" i="1"/>
  <c r="F2067" i="1"/>
  <c r="G2067" i="1"/>
  <c r="H2067" i="1"/>
  <c r="I2067" i="1"/>
  <c r="J2067" i="1"/>
  <c r="K2067" i="1"/>
  <c r="A2068" i="1"/>
  <c r="B2068" i="1"/>
  <c r="C2068" i="1"/>
  <c r="D2068" i="1"/>
  <c r="E2068" i="1"/>
  <c r="F2068" i="1"/>
  <c r="G2068" i="1"/>
  <c r="H2068" i="1"/>
  <c r="I2068" i="1"/>
  <c r="J2068" i="1"/>
  <c r="K2068" i="1"/>
  <c r="A2069" i="1"/>
  <c r="B2069" i="1"/>
  <c r="C2069" i="1"/>
  <c r="D2069" i="1"/>
  <c r="E2069" i="1"/>
  <c r="F2069" i="1"/>
  <c r="G2069" i="1"/>
  <c r="H2069" i="1"/>
  <c r="I2069" i="1"/>
  <c r="J2069" i="1"/>
  <c r="K2069" i="1"/>
  <c r="A2070" i="1"/>
  <c r="B2070" i="1"/>
  <c r="C2070" i="1"/>
  <c r="D2070" i="1"/>
  <c r="E2070" i="1"/>
  <c r="F2070" i="1"/>
  <c r="G2070" i="1"/>
  <c r="H2070" i="1"/>
  <c r="I2070" i="1"/>
  <c r="J2070" i="1"/>
  <c r="K2070" i="1"/>
  <c r="A2071" i="1"/>
  <c r="B2071" i="1"/>
  <c r="C2071" i="1"/>
  <c r="D2071" i="1"/>
  <c r="E2071" i="1"/>
  <c r="F2071" i="1"/>
  <c r="G2071" i="1"/>
  <c r="H2071" i="1"/>
  <c r="I2071" i="1"/>
  <c r="J2071" i="1"/>
  <c r="K2071" i="1"/>
  <c r="A2072" i="1"/>
  <c r="B2072" i="1"/>
  <c r="C2072" i="1"/>
  <c r="D2072" i="1"/>
  <c r="E2072" i="1"/>
  <c r="F2072" i="1"/>
  <c r="G2072" i="1"/>
  <c r="H2072" i="1"/>
  <c r="I2072" i="1"/>
  <c r="J2072" i="1"/>
  <c r="K2072" i="1"/>
  <c r="A2073" i="1"/>
  <c r="B2073" i="1"/>
  <c r="C2073" i="1"/>
  <c r="D2073" i="1"/>
  <c r="E2073" i="1"/>
  <c r="F2073" i="1"/>
  <c r="G2073" i="1"/>
  <c r="H2073" i="1"/>
  <c r="I2073" i="1"/>
  <c r="J2073" i="1"/>
  <c r="K2073" i="1"/>
  <c r="A2074" i="1"/>
  <c r="B2074" i="1"/>
  <c r="C2074" i="1"/>
  <c r="D2074" i="1"/>
  <c r="E2074" i="1"/>
  <c r="F2074" i="1"/>
  <c r="G2074" i="1"/>
  <c r="H2074" i="1"/>
  <c r="I2074" i="1"/>
  <c r="J2074" i="1"/>
  <c r="K2074" i="1"/>
  <c r="A2075" i="1"/>
  <c r="B2075" i="1"/>
  <c r="C2075" i="1"/>
  <c r="D2075" i="1"/>
  <c r="E2075" i="1"/>
  <c r="F2075" i="1"/>
  <c r="G2075" i="1"/>
  <c r="H2075" i="1"/>
  <c r="I2075" i="1"/>
  <c r="J2075" i="1"/>
  <c r="K2075" i="1"/>
  <c r="A2076" i="1"/>
  <c r="B2076" i="1"/>
  <c r="C2076" i="1"/>
  <c r="D2076" i="1"/>
  <c r="E2076" i="1"/>
  <c r="F2076" i="1"/>
  <c r="G2076" i="1"/>
  <c r="H2076" i="1"/>
  <c r="I2076" i="1"/>
  <c r="J2076" i="1"/>
  <c r="K2076" i="1"/>
  <c r="A2077" i="1"/>
  <c r="B2077" i="1"/>
  <c r="C2077" i="1"/>
  <c r="D2077" i="1"/>
  <c r="E2077" i="1"/>
  <c r="F2077" i="1"/>
  <c r="G2077" i="1"/>
  <c r="H2077" i="1"/>
  <c r="I2077" i="1"/>
  <c r="J2077" i="1"/>
  <c r="K2077" i="1"/>
  <c r="A2078" i="1"/>
  <c r="B2078" i="1"/>
  <c r="C2078" i="1"/>
  <c r="D2078" i="1"/>
  <c r="E2078" i="1"/>
  <c r="F2078" i="1"/>
  <c r="G2078" i="1"/>
  <c r="H2078" i="1"/>
  <c r="I2078" i="1"/>
  <c r="J2078" i="1"/>
  <c r="K2078" i="1"/>
  <c r="A2079" i="1"/>
  <c r="B2079" i="1"/>
  <c r="C2079" i="1"/>
  <c r="D2079" i="1"/>
  <c r="E2079" i="1"/>
  <c r="F2079" i="1"/>
  <c r="G2079" i="1"/>
  <c r="H2079" i="1"/>
  <c r="I2079" i="1"/>
  <c r="J2079" i="1"/>
  <c r="K2079" i="1"/>
  <c r="A2080" i="1"/>
  <c r="B2080" i="1"/>
  <c r="C2080" i="1"/>
  <c r="D2080" i="1"/>
  <c r="E2080" i="1"/>
  <c r="F2080" i="1"/>
  <c r="G2080" i="1"/>
  <c r="H2080" i="1"/>
  <c r="I2080" i="1"/>
  <c r="J2080" i="1"/>
  <c r="K2080" i="1"/>
  <c r="A2081" i="1"/>
  <c r="B2081" i="1"/>
  <c r="C2081" i="1"/>
  <c r="D2081" i="1"/>
  <c r="E2081" i="1"/>
  <c r="F2081" i="1"/>
  <c r="G2081" i="1"/>
  <c r="H2081" i="1"/>
  <c r="I2081" i="1"/>
  <c r="J2081" i="1"/>
  <c r="K2081" i="1"/>
  <c r="A2082" i="1"/>
  <c r="B2082" i="1"/>
  <c r="C2082" i="1"/>
  <c r="D2082" i="1"/>
  <c r="E2082" i="1"/>
  <c r="F2082" i="1"/>
  <c r="G2082" i="1"/>
  <c r="H2082" i="1"/>
  <c r="I2082" i="1"/>
  <c r="J2082" i="1"/>
  <c r="K2082" i="1"/>
  <c r="A2083" i="1"/>
  <c r="B2083" i="1"/>
  <c r="C2083" i="1"/>
  <c r="D2083" i="1"/>
  <c r="E2083" i="1"/>
  <c r="F2083" i="1"/>
  <c r="G2083" i="1"/>
  <c r="H2083" i="1"/>
  <c r="I2083" i="1"/>
  <c r="J2083" i="1"/>
  <c r="K2083" i="1"/>
  <c r="A2084" i="1"/>
  <c r="B2084" i="1"/>
  <c r="C2084" i="1"/>
  <c r="D2084" i="1"/>
  <c r="E2084" i="1"/>
  <c r="F2084" i="1"/>
  <c r="G2084" i="1"/>
  <c r="H2084" i="1"/>
  <c r="I2084" i="1"/>
  <c r="J2084" i="1"/>
  <c r="K2084" i="1"/>
  <c r="A2085" i="1"/>
  <c r="B2085" i="1"/>
  <c r="C2085" i="1"/>
  <c r="D2085" i="1"/>
  <c r="E2085" i="1"/>
  <c r="F2085" i="1"/>
  <c r="G2085" i="1"/>
  <c r="H2085" i="1"/>
  <c r="I2085" i="1"/>
  <c r="J2085" i="1"/>
  <c r="K2085" i="1"/>
  <c r="A2086" i="1"/>
  <c r="B2086" i="1"/>
  <c r="C2086" i="1"/>
  <c r="D2086" i="1"/>
  <c r="E2086" i="1"/>
  <c r="F2086" i="1"/>
  <c r="G2086" i="1"/>
  <c r="H2086" i="1"/>
  <c r="I2086" i="1"/>
  <c r="J2086" i="1"/>
  <c r="K2086" i="1"/>
  <c r="A2087" i="1"/>
  <c r="B2087" i="1"/>
  <c r="C2087" i="1"/>
  <c r="D2087" i="1"/>
  <c r="E2087" i="1"/>
  <c r="F2087" i="1"/>
  <c r="G2087" i="1"/>
  <c r="H2087" i="1"/>
  <c r="I2087" i="1"/>
  <c r="J2087" i="1"/>
  <c r="K2087" i="1"/>
  <c r="A2088" i="1"/>
  <c r="B2088" i="1"/>
  <c r="C2088" i="1"/>
  <c r="D2088" i="1"/>
  <c r="E2088" i="1"/>
  <c r="F2088" i="1"/>
  <c r="G2088" i="1"/>
  <c r="H2088" i="1"/>
  <c r="I2088" i="1"/>
  <c r="J2088" i="1"/>
  <c r="K2088" i="1"/>
  <c r="A2089" i="1"/>
  <c r="B2089" i="1"/>
  <c r="C2089" i="1"/>
  <c r="D2089" i="1"/>
  <c r="E2089" i="1"/>
  <c r="F2089" i="1"/>
  <c r="G2089" i="1"/>
  <c r="H2089" i="1"/>
  <c r="I2089" i="1"/>
  <c r="J2089" i="1"/>
  <c r="K2089" i="1"/>
  <c r="A2090" i="1"/>
  <c r="B2090" i="1"/>
  <c r="C2090" i="1"/>
  <c r="D2090" i="1"/>
  <c r="E2090" i="1"/>
  <c r="F2090" i="1"/>
  <c r="G2090" i="1"/>
  <c r="H2090" i="1"/>
  <c r="I2090" i="1"/>
  <c r="J2090" i="1"/>
  <c r="K2090" i="1"/>
  <c r="A2091" i="1"/>
  <c r="B2091" i="1"/>
  <c r="C2091" i="1"/>
  <c r="D2091" i="1"/>
  <c r="E2091" i="1"/>
  <c r="F2091" i="1"/>
  <c r="G2091" i="1"/>
  <c r="H2091" i="1"/>
  <c r="I2091" i="1"/>
  <c r="J2091" i="1"/>
  <c r="K2091" i="1"/>
  <c r="A2092" i="1"/>
  <c r="B2092" i="1"/>
  <c r="C2092" i="1"/>
  <c r="D2092" i="1"/>
  <c r="E2092" i="1"/>
  <c r="F2092" i="1"/>
  <c r="G2092" i="1"/>
  <c r="H2092" i="1"/>
  <c r="I2092" i="1"/>
  <c r="J2092" i="1"/>
  <c r="K2092" i="1"/>
  <c r="A2093" i="1"/>
  <c r="B2093" i="1"/>
  <c r="C2093" i="1"/>
  <c r="D2093" i="1"/>
  <c r="E2093" i="1"/>
  <c r="F2093" i="1"/>
  <c r="G2093" i="1"/>
  <c r="H2093" i="1"/>
  <c r="I2093" i="1"/>
  <c r="J2093" i="1"/>
  <c r="K2093" i="1"/>
  <c r="A2094" i="1"/>
  <c r="B2094" i="1"/>
  <c r="C2094" i="1"/>
  <c r="D2094" i="1"/>
  <c r="E2094" i="1"/>
  <c r="F2094" i="1"/>
  <c r="G2094" i="1"/>
  <c r="H2094" i="1"/>
  <c r="I2094" i="1"/>
  <c r="J2094" i="1"/>
  <c r="K2094" i="1"/>
  <c r="A2095" i="1"/>
  <c r="B2095" i="1"/>
  <c r="C2095" i="1"/>
  <c r="D2095" i="1"/>
  <c r="E2095" i="1"/>
  <c r="F2095" i="1"/>
  <c r="G2095" i="1"/>
  <c r="H2095" i="1"/>
  <c r="I2095" i="1"/>
  <c r="J2095" i="1"/>
  <c r="K2095" i="1"/>
  <c r="A2096" i="1"/>
  <c r="B2096" i="1"/>
  <c r="C2096" i="1"/>
  <c r="D2096" i="1"/>
  <c r="E2096" i="1"/>
  <c r="F2096" i="1"/>
  <c r="G2096" i="1"/>
  <c r="H2096" i="1"/>
  <c r="I2096" i="1"/>
  <c r="J2096" i="1"/>
  <c r="K2096" i="1"/>
  <c r="A2097" i="1"/>
  <c r="B2097" i="1"/>
  <c r="C2097" i="1"/>
  <c r="D2097" i="1"/>
  <c r="E2097" i="1"/>
  <c r="F2097" i="1"/>
  <c r="G2097" i="1"/>
  <c r="H2097" i="1"/>
  <c r="I2097" i="1"/>
  <c r="J2097" i="1"/>
  <c r="K2097" i="1"/>
  <c r="A2098" i="1"/>
  <c r="B2098" i="1"/>
  <c r="C2098" i="1"/>
  <c r="D2098" i="1"/>
  <c r="E2098" i="1"/>
  <c r="F2098" i="1"/>
  <c r="G2098" i="1"/>
  <c r="H2098" i="1"/>
  <c r="I2098" i="1"/>
  <c r="J2098" i="1"/>
  <c r="K2098" i="1"/>
  <c r="A2099" i="1"/>
  <c r="B2099" i="1"/>
  <c r="C2099" i="1"/>
  <c r="D2099" i="1"/>
  <c r="E2099" i="1"/>
  <c r="F2099" i="1"/>
  <c r="G2099" i="1"/>
  <c r="H2099" i="1"/>
  <c r="I2099" i="1"/>
  <c r="J2099" i="1"/>
  <c r="K2099" i="1"/>
  <c r="A2100" i="1"/>
  <c r="B2100" i="1"/>
  <c r="C2100" i="1"/>
  <c r="D2100" i="1"/>
  <c r="E2100" i="1"/>
  <c r="F2100" i="1"/>
  <c r="G2100" i="1"/>
  <c r="H2100" i="1"/>
  <c r="I2100" i="1"/>
  <c r="J2100" i="1"/>
  <c r="K2100" i="1"/>
  <c r="A2101" i="1"/>
  <c r="B2101" i="1"/>
  <c r="C2101" i="1"/>
  <c r="D2101" i="1"/>
  <c r="E2101" i="1"/>
  <c r="F2101" i="1"/>
  <c r="G2101" i="1"/>
  <c r="H2101" i="1"/>
  <c r="I2101" i="1"/>
  <c r="J2101" i="1"/>
  <c r="K2101" i="1"/>
  <c r="A2102" i="1"/>
  <c r="B2102" i="1"/>
  <c r="C2102" i="1"/>
  <c r="D2102" i="1"/>
  <c r="E2102" i="1"/>
  <c r="F2102" i="1"/>
  <c r="G2102" i="1"/>
  <c r="H2102" i="1"/>
  <c r="I2102" i="1"/>
  <c r="J2102" i="1"/>
  <c r="K2102" i="1"/>
  <c r="A2103" i="1"/>
  <c r="B2103" i="1"/>
  <c r="C2103" i="1"/>
  <c r="D2103" i="1"/>
  <c r="E2103" i="1"/>
  <c r="F2103" i="1"/>
  <c r="G2103" i="1"/>
  <c r="H2103" i="1"/>
  <c r="I2103" i="1"/>
  <c r="J2103" i="1"/>
  <c r="K2103" i="1"/>
  <c r="A2104" i="1"/>
  <c r="B2104" i="1"/>
  <c r="C2104" i="1"/>
  <c r="D2104" i="1"/>
  <c r="E2104" i="1"/>
  <c r="F2104" i="1"/>
  <c r="G2104" i="1"/>
  <c r="H2104" i="1"/>
  <c r="I2104" i="1"/>
  <c r="J2104" i="1"/>
  <c r="K2104" i="1"/>
  <c r="A2105" i="1"/>
  <c r="B2105" i="1"/>
  <c r="C2105" i="1"/>
  <c r="D2105" i="1"/>
  <c r="E2105" i="1"/>
  <c r="F2105" i="1"/>
  <c r="G2105" i="1"/>
  <c r="H2105" i="1"/>
  <c r="I2105" i="1"/>
  <c r="J2105" i="1"/>
  <c r="K2105" i="1"/>
  <c r="A2106" i="1"/>
  <c r="B2106" i="1"/>
  <c r="C2106" i="1"/>
  <c r="D2106" i="1"/>
  <c r="E2106" i="1"/>
  <c r="F2106" i="1"/>
  <c r="G2106" i="1"/>
  <c r="H2106" i="1"/>
  <c r="I2106" i="1"/>
  <c r="J2106" i="1"/>
  <c r="K2106" i="1"/>
  <c r="A2107" i="1"/>
  <c r="B2107" i="1"/>
  <c r="C2107" i="1"/>
  <c r="D2107" i="1"/>
  <c r="E2107" i="1"/>
  <c r="F2107" i="1"/>
  <c r="G2107" i="1"/>
  <c r="H2107" i="1"/>
  <c r="I2107" i="1"/>
  <c r="J2107" i="1"/>
  <c r="K2107" i="1"/>
  <c r="A2108" i="1"/>
  <c r="B2108" i="1"/>
  <c r="C2108" i="1"/>
  <c r="D2108" i="1"/>
  <c r="E2108" i="1"/>
  <c r="F2108" i="1"/>
  <c r="G2108" i="1"/>
  <c r="H2108" i="1"/>
  <c r="I2108" i="1"/>
  <c r="J2108" i="1"/>
  <c r="K2108" i="1"/>
  <c r="A2109" i="1"/>
  <c r="B2109" i="1"/>
  <c r="C2109" i="1"/>
  <c r="D2109" i="1"/>
  <c r="E2109" i="1"/>
  <c r="F2109" i="1"/>
  <c r="G2109" i="1"/>
  <c r="H2109" i="1"/>
  <c r="I2109" i="1"/>
  <c r="J2109" i="1"/>
  <c r="K2109" i="1"/>
  <c r="A2110" i="1"/>
  <c r="B2110" i="1"/>
  <c r="C2110" i="1"/>
  <c r="D2110" i="1"/>
  <c r="E2110" i="1"/>
  <c r="F2110" i="1"/>
  <c r="G2110" i="1"/>
  <c r="H2110" i="1"/>
  <c r="I2110" i="1"/>
  <c r="J2110" i="1"/>
  <c r="K2110" i="1"/>
  <c r="A2111" i="1"/>
  <c r="B2111" i="1"/>
  <c r="C2111" i="1"/>
  <c r="D2111" i="1"/>
  <c r="E2111" i="1"/>
  <c r="F2111" i="1"/>
  <c r="G2111" i="1"/>
  <c r="H2111" i="1"/>
  <c r="I2111" i="1"/>
  <c r="J2111" i="1"/>
  <c r="K2111" i="1"/>
  <c r="A2112" i="1"/>
  <c r="B2112" i="1"/>
  <c r="C2112" i="1"/>
  <c r="D2112" i="1"/>
  <c r="E2112" i="1"/>
  <c r="F2112" i="1"/>
  <c r="G2112" i="1"/>
  <c r="H2112" i="1"/>
  <c r="I2112" i="1"/>
  <c r="J2112" i="1"/>
  <c r="K2112" i="1"/>
  <c r="A2113" i="1"/>
  <c r="B2113" i="1"/>
  <c r="C2113" i="1"/>
  <c r="D2113" i="1"/>
  <c r="E2113" i="1"/>
  <c r="F2113" i="1"/>
  <c r="G2113" i="1"/>
  <c r="H2113" i="1"/>
  <c r="I2113" i="1"/>
  <c r="J2113" i="1"/>
  <c r="K2113" i="1"/>
  <c r="A2114" i="1"/>
  <c r="B2114" i="1"/>
  <c r="C2114" i="1"/>
  <c r="D2114" i="1"/>
  <c r="E2114" i="1"/>
  <c r="F2114" i="1"/>
  <c r="G2114" i="1"/>
  <c r="H2114" i="1"/>
  <c r="I2114" i="1"/>
  <c r="J2114" i="1"/>
  <c r="K2114" i="1"/>
  <c r="A2115" i="1"/>
  <c r="B2115" i="1"/>
  <c r="C2115" i="1"/>
  <c r="D2115" i="1"/>
  <c r="E2115" i="1"/>
  <c r="F2115" i="1"/>
  <c r="G2115" i="1"/>
  <c r="H2115" i="1"/>
  <c r="I2115" i="1"/>
  <c r="J2115" i="1"/>
  <c r="K2115" i="1"/>
  <c r="A2116" i="1"/>
  <c r="B2116" i="1"/>
  <c r="C2116" i="1"/>
  <c r="D2116" i="1"/>
  <c r="E2116" i="1"/>
  <c r="F2116" i="1"/>
  <c r="G2116" i="1"/>
  <c r="H2116" i="1"/>
  <c r="I2116" i="1"/>
  <c r="J2116" i="1"/>
  <c r="K2116" i="1"/>
  <c r="A2117" i="1"/>
  <c r="B2117" i="1"/>
  <c r="C2117" i="1"/>
  <c r="D2117" i="1"/>
  <c r="E2117" i="1"/>
  <c r="F2117" i="1"/>
  <c r="G2117" i="1"/>
  <c r="H2117" i="1"/>
  <c r="I2117" i="1"/>
  <c r="J2117" i="1"/>
  <c r="K2117" i="1"/>
  <c r="A2118" i="1"/>
  <c r="B2118" i="1"/>
  <c r="C2118" i="1"/>
  <c r="D2118" i="1"/>
  <c r="E2118" i="1"/>
  <c r="F2118" i="1"/>
  <c r="G2118" i="1"/>
  <c r="H2118" i="1"/>
  <c r="I2118" i="1"/>
  <c r="J2118" i="1"/>
  <c r="K2118" i="1"/>
  <c r="A2119" i="1"/>
  <c r="B2119" i="1"/>
  <c r="C2119" i="1"/>
  <c r="D2119" i="1"/>
  <c r="E2119" i="1"/>
  <c r="F2119" i="1"/>
  <c r="G2119" i="1"/>
  <c r="H2119" i="1"/>
  <c r="I2119" i="1"/>
  <c r="J2119" i="1"/>
  <c r="K2119" i="1"/>
  <c r="A2120" i="1"/>
  <c r="B2120" i="1"/>
  <c r="C2120" i="1"/>
  <c r="D2120" i="1"/>
  <c r="E2120" i="1"/>
  <c r="F2120" i="1"/>
  <c r="G2120" i="1"/>
  <c r="H2120" i="1"/>
  <c r="I2120" i="1"/>
  <c r="J2120" i="1"/>
  <c r="K2120" i="1"/>
  <c r="A2121" i="1"/>
  <c r="B2121" i="1"/>
  <c r="C2121" i="1"/>
  <c r="D2121" i="1"/>
  <c r="E2121" i="1"/>
  <c r="F2121" i="1"/>
  <c r="G2121" i="1"/>
  <c r="H2121" i="1"/>
  <c r="I2121" i="1"/>
  <c r="J2121" i="1"/>
  <c r="K2121" i="1"/>
  <c r="A2122" i="1"/>
  <c r="B2122" i="1"/>
  <c r="C2122" i="1"/>
  <c r="D2122" i="1"/>
  <c r="E2122" i="1"/>
  <c r="F2122" i="1"/>
  <c r="G2122" i="1"/>
  <c r="H2122" i="1"/>
  <c r="I2122" i="1"/>
  <c r="J2122" i="1"/>
  <c r="K2122" i="1"/>
  <c r="A2123" i="1"/>
  <c r="B2123" i="1"/>
  <c r="C2123" i="1"/>
  <c r="D2123" i="1"/>
  <c r="E2123" i="1"/>
  <c r="F2123" i="1"/>
  <c r="G2123" i="1"/>
  <c r="H2123" i="1"/>
  <c r="I2123" i="1"/>
  <c r="J2123" i="1"/>
  <c r="K2123" i="1"/>
  <c r="A2124" i="1"/>
  <c r="B2124" i="1"/>
  <c r="C2124" i="1"/>
  <c r="D2124" i="1"/>
  <c r="E2124" i="1"/>
  <c r="F2124" i="1"/>
  <c r="G2124" i="1"/>
  <c r="H2124" i="1"/>
  <c r="I2124" i="1"/>
  <c r="J2124" i="1"/>
  <c r="K2124" i="1"/>
  <c r="A2125" i="1"/>
  <c r="B2125" i="1"/>
  <c r="C2125" i="1"/>
  <c r="D2125" i="1"/>
  <c r="E2125" i="1"/>
  <c r="F2125" i="1"/>
  <c r="G2125" i="1"/>
  <c r="H2125" i="1"/>
  <c r="I2125" i="1"/>
  <c r="J2125" i="1"/>
  <c r="K2125" i="1"/>
  <c r="A2126" i="1"/>
  <c r="B2126" i="1"/>
  <c r="C2126" i="1"/>
  <c r="D2126" i="1"/>
  <c r="E2126" i="1"/>
  <c r="F2126" i="1"/>
  <c r="G2126" i="1"/>
  <c r="H2126" i="1"/>
  <c r="I2126" i="1"/>
  <c r="J2126" i="1"/>
  <c r="K2126" i="1"/>
  <c r="A2127" i="1"/>
  <c r="B2127" i="1"/>
  <c r="C2127" i="1"/>
  <c r="D2127" i="1"/>
  <c r="E2127" i="1"/>
  <c r="F2127" i="1"/>
  <c r="G2127" i="1"/>
  <c r="H2127" i="1"/>
  <c r="I2127" i="1"/>
  <c r="J2127" i="1"/>
  <c r="K2127" i="1"/>
  <c r="A2128" i="1"/>
  <c r="B2128" i="1"/>
  <c r="C2128" i="1"/>
  <c r="D2128" i="1"/>
  <c r="E2128" i="1"/>
  <c r="F2128" i="1"/>
  <c r="G2128" i="1"/>
  <c r="H2128" i="1"/>
  <c r="I2128" i="1"/>
  <c r="J2128" i="1"/>
  <c r="K2128" i="1"/>
  <c r="A2129" i="1"/>
  <c r="B2129" i="1"/>
  <c r="C2129" i="1"/>
  <c r="D2129" i="1"/>
  <c r="E2129" i="1"/>
  <c r="F2129" i="1"/>
  <c r="G2129" i="1"/>
  <c r="H2129" i="1"/>
  <c r="I2129" i="1"/>
  <c r="J2129" i="1"/>
  <c r="K2129" i="1"/>
  <c r="A2130" i="1"/>
  <c r="B2130" i="1"/>
  <c r="C2130" i="1"/>
  <c r="D2130" i="1"/>
  <c r="E2130" i="1"/>
  <c r="F2130" i="1"/>
  <c r="G2130" i="1"/>
  <c r="H2130" i="1"/>
  <c r="I2130" i="1"/>
  <c r="J2130" i="1"/>
  <c r="K2130" i="1"/>
  <c r="A2131" i="1"/>
  <c r="B2131" i="1"/>
  <c r="C2131" i="1"/>
  <c r="D2131" i="1"/>
  <c r="E2131" i="1"/>
  <c r="F2131" i="1"/>
  <c r="G2131" i="1"/>
  <c r="H2131" i="1"/>
  <c r="I2131" i="1"/>
  <c r="J2131" i="1"/>
  <c r="K2131" i="1"/>
  <c r="A2132" i="1"/>
  <c r="B2132" i="1"/>
  <c r="C2132" i="1"/>
  <c r="D2132" i="1"/>
  <c r="E2132" i="1"/>
  <c r="F2132" i="1"/>
  <c r="G2132" i="1"/>
  <c r="H2132" i="1"/>
  <c r="I2132" i="1"/>
  <c r="J2132" i="1"/>
  <c r="K2132" i="1"/>
  <c r="A2133" i="1"/>
  <c r="B2133" i="1"/>
  <c r="C2133" i="1"/>
  <c r="D2133" i="1"/>
  <c r="E2133" i="1"/>
  <c r="F2133" i="1"/>
  <c r="G2133" i="1"/>
  <c r="H2133" i="1"/>
  <c r="I2133" i="1"/>
  <c r="J2133" i="1"/>
  <c r="K2133" i="1"/>
  <c r="A2134" i="1"/>
  <c r="B2134" i="1"/>
  <c r="C2134" i="1"/>
  <c r="D2134" i="1"/>
  <c r="E2134" i="1"/>
  <c r="F2134" i="1"/>
  <c r="G2134" i="1"/>
  <c r="H2134" i="1"/>
  <c r="I2134" i="1"/>
  <c r="J2134" i="1"/>
  <c r="K2134" i="1"/>
  <c r="A2135" i="1"/>
  <c r="B2135" i="1"/>
  <c r="C2135" i="1"/>
  <c r="D2135" i="1"/>
  <c r="E2135" i="1"/>
  <c r="F2135" i="1"/>
  <c r="G2135" i="1"/>
  <c r="H2135" i="1"/>
  <c r="I2135" i="1"/>
  <c r="J2135" i="1"/>
  <c r="K2135" i="1"/>
  <c r="A2136" i="1"/>
  <c r="B2136" i="1"/>
  <c r="C2136" i="1"/>
  <c r="D2136" i="1"/>
  <c r="E2136" i="1"/>
  <c r="F2136" i="1"/>
  <c r="G2136" i="1"/>
  <c r="H2136" i="1"/>
  <c r="I2136" i="1"/>
  <c r="J2136" i="1"/>
  <c r="K2136" i="1"/>
  <c r="A2137" i="1"/>
  <c r="B2137" i="1"/>
  <c r="C2137" i="1"/>
  <c r="D2137" i="1"/>
  <c r="E2137" i="1"/>
  <c r="F2137" i="1"/>
  <c r="G2137" i="1"/>
  <c r="H2137" i="1"/>
  <c r="I2137" i="1"/>
  <c r="J2137" i="1"/>
  <c r="K2137" i="1"/>
  <c r="A2138" i="1"/>
  <c r="B2138" i="1"/>
  <c r="C2138" i="1"/>
  <c r="D2138" i="1"/>
  <c r="E2138" i="1"/>
  <c r="F2138" i="1"/>
  <c r="G2138" i="1"/>
  <c r="H2138" i="1"/>
  <c r="I2138" i="1"/>
  <c r="J2138" i="1"/>
  <c r="K2138" i="1"/>
  <c r="A2139" i="1"/>
  <c r="B2139" i="1"/>
  <c r="C2139" i="1"/>
  <c r="D2139" i="1"/>
  <c r="E2139" i="1"/>
  <c r="F2139" i="1"/>
  <c r="G2139" i="1"/>
  <c r="H2139" i="1"/>
  <c r="I2139" i="1"/>
  <c r="J2139" i="1"/>
  <c r="K2139" i="1"/>
  <c r="A2140" i="1"/>
  <c r="B2140" i="1"/>
  <c r="C2140" i="1"/>
  <c r="D2140" i="1"/>
  <c r="E2140" i="1"/>
  <c r="F2140" i="1"/>
  <c r="G2140" i="1"/>
  <c r="H2140" i="1"/>
  <c r="I2140" i="1"/>
  <c r="J2140" i="1"/>
  <c r="K2140" i="1"/>
  <c r="A2141" i="1"/>
  <c r="B2141" i="1"/>
  <c r="C2141" i="1"/>
  <c r="D2141" i="1"/>
  <c r="E2141" i="1"/>
  <c r="F2141" i="1"/>
  <c r="G2141" i="1"/>
  <c r="H2141" i="1"/>
  <c r="I2141" i="1"/>
  <c r="J2141" i="1"/>
  <c r="K2141" i="1"/>
  <c r="A2142" i="1"/>
  <c r="B2142" i="1"/>
  <c r="C2142" i="1"/>
  <c r="D2142" i="1"/>
  <c r="E2142" i="1"/>
  <c r="F2142" i="1"/>
  <c r="G2142" i="1"/>
  <c r="H2142" i="1"/>
  <c r="I2142" i="1"/>
  <c r="J2142" i="1"/>
  <c r="K2142" i="1"/>
  <c r="A2143" i="1"/>
  <c r="B2143" i="1"/>
  <c r="C2143" i="1"/>
  <c r="D2143" i="1"/>
  <c r="E2143" i="1"/>
  <c r="F2143" i="1"/>
  <c r="G2143" i="1"/>
  <c r="H2143" i="1"/>
  <c r="I2143" i="1"/>
  <c r="J2143" i="1"/>
  <c r="K2143" i="1"/>
  <c r="A2144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44"/>
  <sheetViews>
    <sheetView tabSelected="1" workbookViewId="0"/>
  </sheetViews>
  <sheetFormatPr defaultRowHeight="15" x14ac:dyDescent="0.25"/>
  <sheetData>
    <row r="1" spans="1:11" x14ac:dyDescent="0.25">
      <c r="A1" t="str">
        <f>"Filtros Utilizados"</f>
        <v>Filtros Utilizados</v>
      </c>
    </row>
    <row r="2" spans="1:11" x14ac:dyDescent="0.25">
      <c r="A2" t="str">
        <f>"Vínculo"</f>
        <v>Vínculo</v>
      </c>
      <c r="B2" t="str">
        <f>"TODOS"</f>
        <v>TODOS</v>
      </c>
      <c r="C2" t="str">
        <f>"Unidade"</f>
        <v>Unidade</v>
      </c>
      <c r="D2" t="str">
        <f>"IPMA - 2022"</f>
        <v>IPMA - 2022</v>
      </c>
    </row>
    <row r="3" spans="1:11" x14ac:dyDescent="0.25">
      <c r="A3" t="str">
        <f>"Mês"</f>
        <v>Mês</v>
      </c>
      <c r="B3" t="str">
        <f>"12/2021"</f>
        <v>12/2021</v>
      </c>
      <c r="C3" t="str">
        <f>"Apresentar Por"</f>
        <v>Apresentar Por</v>
      </c>
      <c r="D3" t="str">
        <f>"Todos"</f>
        <v>Todos</v>
      </c>
    </row>
    <row r="4" spans="1:11" x14ac:dyDescent="0.25">
      <c r="A4" t="str">
        <f>"Salários por Colaborador"</f>
        <v>Salários por Colaborador</v>
      </c>
    </row>
    <row r="5" spans="1:11" x14ac:dyDescent="0.25">
      <c r="A5" t="str">
        <f>"Matrícula"</f>
        <v>Matrícula</v>
      </c>
      <c r="B5" t="str">
        <f>"Tipo da Folha"</f>
        <v>Tipo da Folha</v>
      </c>
      <c r="C5" t="str">
        <f>"Nome"</f>
        <v>Nome</v>
      </c>
      <c r="D5" t="str">
        <f>"Cargo"</f>
        <v>Cargo</v>
      </c>
      <c r="E5" t="str">
        <f>"Vínculo Empregatício"</f>
        <v>Vínculo Empregatício</v>
      </c>
      <c r="F5" t="str">
        <f>"Salário Base"</f>
        <v>Salário Base</v>
      </c>
      <c r="G5" t="str">
        <f>"Proventos"</f>
        <v>Proventos</v>
      </c>
      <c r="H5" t="str">
        <f>"Vantagens"</f>
        <v>Vantagens</v>
      </c>
      <c r="I5" t="str">
        <f>"Vencimentos Totais"</f>
        <v>Vencimentos Totais</v>
      </c>
      <c r="J5" t="str">
        <f>"Descontos"</f>
        <v>Descontos</v>
      </c>
      <c r="K5" t="str">
        <f>"Líquido"</f>
        <v>Líquido</v>
      </c>
    </row>
    <row r="6" spans="1:11" x14ac:dyDescent="0.25">
      <c r="A6" t="str">
        <f>"03639991 / 1"</f>
        <v>03639991 / 1</v>
      </c>
      <c r="B6" t="str">
        <f>"13° Salário Anual"</f>
        <v>13° Salário Anual</v>
      </c>
      <c r="C6" t="str">
        <f>"Abdias de Oliveira Palheta"</f>
        <v>Abdias de Oliveira Palheta</v>
      </c>
      <c r="D6" t="str">
        <f>"PENSIONISTA"</f>
        <v>PENSIONISTA</v>
      </c>
      <c r="E6" t="str">
        <f>"Pensionista"</f>
        <v>Pensionista</v>
      </c>
      <c r="F6" t="str">
        <f>"R$ 1.100,00"</f>
        <v>R$ 1.100,00</v>
      </c>
      <c r="G6" t="str">
        <f>"R$ 1.265,00"</f>
        <v>R$ 1.265,00</v>
      </c>
      <c r="H6" t="str">
        <f t="shared" ref="H6:H30" si="0">"R$ 0,00"</f>
        <v>R$ 0,00</v>
      </c>
      <c r="I6" t="str">
        <f>"R$ 1.265,00"</f>
        <v>R$ 1.265,00</v>
      </c>
      <c r="J6" t="str">
        <f>"R$ 632,50"</f>
        <v>R$ 632,50</v>
      </c>
      <c r="K6" t="str">
        <f>"R$ 632,50"</f>
        <v>R$ 632,50</v>
      </c>
    </row>
    <row r="7" spans="1:11" x14ac:dyDescent="0.25">
      <c r="A7" t="str">
        <f>"03639991 / 1"</f>
        <v>03639991 / 1</v>
      </c>
      <c r="B7" t="str">
        <f>"Folha Mensal"</f>
        <v>Folha Mensal</v>
      </c>
      <c r="C7" t="str">
        <f>"Abdias de Oliveira Palheta"</f>
        <v>Abdias de Oliveira Palheta</v>
      </c>
      <c r="D7" t="str">
        <f>"PENSIONISTA"</f>
        <v>PENSIONISTA</v>
      </c>
      <c r="E7" t="str">
        <f>"Pensionista"</f>
        <v>Pensionista</v>
      </c>
      <c r="F7" t="str">
        <f>"R$ 1.100,00"</f>
        <v>R$ 1.100,00</v>
      </c>
      <c r="G7" t="str">
        <f>"R$ 1.265,00"</f>
        <v>R$ 1.265,00</v>
      </c>
      <c r="H7" t="str">
        <f t="shared" si="0"/>
        <v>R$ 0,00</v>
      </c>
      <c r="I7" t="str">
        <f>"R$ 1.265,00"</f>
        <v>R$ 1.265,00</v>
      </c>
      <c r="J7" t="str">
        <f>"R$ 0,00"</f>
        <v>R$ 0,00</v>
      </c>
      <c r="K7" t="str">
        <f>"R$ 1.265,00"</f>
        <v>R$ 1.265,00</v>
      </c>
    </row>
    <row r="8" spans="1:11" x14ac:dyDescent="0.25">
      <c r="A8" t="str">
        <f>"03640213 / 1"</f>
        <v>03640213 / 1</v>
      </c>
      <c r="B8" t="str">
        <f>"13° Salário Anual"</f>
        <v>13° Salário Anual</v>
      </c>
      <c r="C8" t="str">
        <f>"Adalgisa Guedes Caxias"</f>
        <v>Adalgisa Guedes Caxias</v>
      </c>
      <c r="D8" t="str">
        <f>"CMA-AUAL-020"</f>
        <v>CMA-AUAL-020</v>
      </c>
      <c r="E8" t="str">
        <f>"Pensionista"</f>
        <v>Pensionista</v>
      </c>
      <c r="F8" t="str">
        <f>"R$ 2.940,71"</f>
        <v>R$ 2.940,71</v>
      </c>
      <c r="G8" t="str">
        <f>"R$ 3.969,95"</f>
        <v>R$ 3.969,95</v>
      </c>
      <c r="H8" t="str">
        <f t="shared" si="0"/>
        <v>R$ 0,00</v>
      </c>
      <c r="I8" t="str">
        <f>"R$ 3.969,95"</f>
        <v>R$ 3.969,95</v>
      </c>
      <c r="J8" t="str">
        <f>"R$ 2.242,07"</f>
        <v>R$ 2.242,07</v>
      </c>
      <c r="K8" t="str">
        <f>"R$ 1.727,88"</f>
        <v>R$ 1.727,88</v>
      </c>
    </row>
    <row r="9" spans="1:11" x14ac:dyDescent="0.25">
      <c r="A9" t="str">
        <f>"03640213 / 1"</f>
        <v>03640213 / 1</v>
      </c>
      <c r="B9" t="str">
        <f>"Folha Mensal"</f>
        <v>Folha Mensal</v>
      </c>
      <c r="C9" t="str">
        <f>"Adalgisa Guedes Caxias"</f>
        <v>Adalgisa Guedes Caxias</v>
      </c>
      <c r="D9" t="str">
        <f>"CMA-AUAL-020"</f>
        <v>CMA-AUAL-020</v>
      </c>
      <c r="E9" t="str">
        <f>"Pensionista"</f>
        <v>Pensionista</v>
      </c>
      <c r="F9" t="str">
        <f>"R$ 2.940,71"</f>
        <v>R$ 2.940,71</v>
      </c>
      <c r="G9" t="str">
        <f>"R$ 3.969,95"</f>
        <v>R$ 3.969,95</v>
      </c>
      <c r="H9" t="str">
        <f t="shared" si="0"/>
        <v>R$ 0,00</v>
      </c>
      <c r="I9" t="str">
        <f>"R$ 3.969,95"</f>
        <v>R$ 3.969,95</v>
      </c>
      <c r="J9" t="str">
        <f>"R$ 257,10"</f>
        <v>R$ 257,10</v>
      </c>
      <c r="K9" t="str">
        <f>"R$ 3.712,85"</f>
        <v>R$ 3.712,85</v>
      </c>
    </row>
    <row r="10" spans="1:11" x14ac:dyDescent="0.25">
      <c r="A10" t="str">
        <f>"00033987 / 2"</f>
        <v>00033987 / 2</v>
      </c>
      <c r="B10" t="str">
        <f>"13° Salário Anual"</f>
        <v>13° Salário Anual</v>
      </c>
      <c r="C10" t="str">
        <f>"Adalzira das Graças Torres Leal"</f>
        <v>Adalzira das Graças Torres Leal</v>
      </c>
      <c r="D10" t="str">
        <f>"AUXILIAR MUNICIPAL"</f>
        <v>AUXILIAR MUNICIPAL</v>
      </c>
      <c r="E10" t="str">
        <f>"Efetivo"</f>
        <v>Efetivo</v>
      </c>
      <c r="F10" t="str">
        <f>"R$ 1.100,00"</f>
        <v>R$ 1.100,00</v>
      </c>
      <c r="G10" t="str">
        <f>"R$ 2.545,40"</f>
        <v>R$ 2.545,40</v>
      </c>
      <c r="H10" t="str">
        <f t="shared" si="0"/>
        <v>R$ 0,00</v>
      </c>
      <c r="I10" t="str">
        <f>"R$ 2.545,40"</f>
        <v>R$ 2.545,40</v>
      </c>
      <c r="J10" t="str">
        <f>"R$ 1.509,38"</f>
        <v>R$ 1.509,38</v>
      </c>
      <c r="K10" t="str">
        <f>"R$ 1.036,02"</f>
        <v>R$ 1.036,02</v>
      </c>
    </row>
    <row r="11" spans="1:11" x14ac:dyDescent="0.25">
      <c r="A11" t="str">
        <f>"00033987 / 2"</f>
        <v>00033987 / 2</v>
      </c>
      <c r="B11" t="str">
        <f>"Folha Mensal"</f>
        <v>Folha Mensal</v>
      </c>
      <c r="C11" t="str">
        <f>"Adalzira das Graças Torres Leal"</f>
        <v>Adalzira das Graças Torres Leal</v>
      </c>
      <c r="D11" t="str">
        <f>"AUXILIAR MUNICIPAL"</f>
        <v>AUXILIAR MUNICIPAL</v>
      </c>
      <c r="E11" t="str">
        <f>"Efetivo"</f>
        <v>Efetivo</v>
      </c>
      <c r="F11" t="str">
        <f>"R$ 1.100,00"</f>
        <v>R$ 1.100,00</v>
      </c>
      <c r="G11" t="str">
        <f>"R$ 2.745,20"</f>
        <v>R$ 2.745,20</v>
      </c>
      <c r="H11" t="str">
        <f t="shared" si="0"/>
        <v>R$ 0,00</v>
      </c>
      <c r="I11" t="str">
        <f>"R$ 2.745,20"</f>
        <v>R$ 2.745,20</v>
      </c>
      <c r="J11" t="str">
        <f>"R$ 700,19"</f>
        <v>R$ 700,19</v>
      </c>
      <c r="K11" t="str">
        <f>"R$ 2.045,01"</f>
        <v>R$ 2.045,01</v>
      </c>
    </row>
    <row r="12" spans="1:11" x14ac:dyDescent="0.25">
      <c r="A12" t="str">
        <f>"00023469 / 1"</f>
        <v>00023469 / 1</v>
      </c>
      <c r="B12" t="str">
        <f>"13° Salário Anual"</f>
        <v>13° Salário Anual</v>
      </c>
      <c r="C12" t="str">
        <f>"Adelia Joana Serrao de Araujo"</f>
        <v>Adelia Joana Serrao de Araujo</v>
      </c>
      <c r="D12" t="str">
        <f>"INT TEMP CONTRIBUICAO"</f>
        <v>INT TEMP CONTRIBUICAO</v>
      </c>
      <c r="E12" t="str">
        <f>"Efetivo-Inativos II-RJUSM"</f>
        <v>Efetivo-Inativos II-RJUSM</v>
      </c>
      <c r="F12" t="str">
        <f>"R$ 1.031,51"</f>
        <v>R$ 1.031,51</v>
      </c>
      <c r="G12" t="str">
        <f>"R$ 1.340,96"</f>
        <v>R$ 1.340,96</v>
      </c>
      <c r="H12" t="str">
        <f t="shared" si="0"/>
        <v>R$ 0,00</v>
      </c>
      <c r="I12" t="str">
        <f>"R$ 1.340,96"</f>
        <v>R$ 1.340,96</v>
      </c>
      <c r="J12" t="str">
        <f>"R$ 670,48"</f>
        <v>R$ 670,48</v>
      </c>
      <c r="K12" t="str">
        <f>"R$ 670,48"</f>
        <v>R$ 670,48</v>
      </c>
    </row>
    <row r="13" spans="1:11" x14ac:dyDescent="0.25">
      <c r="A13" t="str">
        <f>"00023469 / 1"</f>
        <v>00023469 / 1</v>
      </c>
      <c r="B13" t="str">
        <f>"Folha Mensal"</f>
        <v>Folha Mensal</v>
      </c>
      <c r="C13" t="str">
        <f>"Adelia Joana Serrao de Araujo"</f>
        <v>Adelia Joana Serrao de Araujo</v>
      </c>
      <c r="D13" t="str">
        <f>"INT TEMP CONTRIBUICAO"</f>
        <v>INT TEMP CONTRIBUICAO</v>
      </c>
      <c r="E13" t="str">
        <f>"Efetivo-Inativos II-RJUSM"</f>
        <v>Efetivo-Inativos II-RJUSM</v>
      </c>
      <c r="F13" t="str">
        <f>"R$ 1.031,51"</f>
        <v>R$ 1.031,51</v>
      </c>
      <c r="G13" t="str">
        <f>"R$ 1.340,96"</f>
        <v>R$ 1.340,96</v>
      </c>
      <c r="H13" t="str">
        <f t="shared" si="0"/>
        <v>R$ 0,00</v>
      </c>
      <c r="I13" t="str">
        <f>"R$ 1.340,96"</f>
        <v>R$ 1.340,96</v>
      </c>
      <c r="J13" t="str">
        <f>"R$ 0,00"</f>
        <v>R$ 0,00</v>
      </c>
      <c r="K13" t="str">
        <f>"R$ 1.340,96"</f>
        <v>R$ 1.340,96</v>
      </c>
    </row>
    <row r="14" spans="1:11" x14ac:dyDescent="0.25">
      <c r="A14" t="str">
        <f>"00032778 / 1"</f>
        <v>00032778 / 1</v>
      </c>
      <c r="B14" t="str">
        <f>"13° Salário Anual"</f>
        <v>13° Salário Anual</v>
      </c>
      <c r="C14" t="str">
        <f>"Adilza de Fatima da Silva Torres"</f>
        <v>Adilza de Fatima da Silva Torres</v>
      </c>
      <c r="D14" t="str">
        <f>"PROFESSOR"</f>
        <v>PROFESSOR</v>
      </c>
      <c r="E14" t="str">
        <f>"Efetivo-Inativo I- RJUSM"</f>
        <v>Efetivo-Inativo I- RJUSM</v>
      </c>
      <c r="F14" t="str">
        <f>"R$ 1.593,46"</f>
        <v>R$ 1.593,46</v>
      </c>
      <c r="G14" t="str">
        <f>"R$ 3.585,28"</f>
        <v>R$ 3.585,28</v>
      </c>
      <c r="H14" t="str">
        <f t="shared" si="0"/>
        <v>R$ 0,00</v>
      </c>
      <c r="I14" t="str">
        <f>"R$ 3.585,28"</f>
        <v>R$ 3.585,28</v>
      </c>
      <c r="J14" t="str">
        <f>"R$ 1.947,19"</f>
        <v>R$ 1.947,19</v>
      </c>
      <c r="K14" t="str">
        <f>"R$ 1.638,09"</f>
        <v>R$ 1.638,09</v>
      </c>
    </row>
    <row r="15" spans="1:11" x14ac:dyDescent="0.25">
      <c r="A15" t="str">
        <f>"00032778 / 1"</f>
        <v>00032778 / 1</v>
      </c>
      <c r="B15" t="str">
        <f>"Folha Mensal"</f>
        <v>Folha Mensal</v>
      </c>
      <c r="C15" t="str">
        <f>"Adilza de Fatima da Silva Torres"</f>
        <v>Adilza de Fatima da Silva Torres</v>
      </c>
      <c r="D15" t="str">
        <f>"PROFESSOR"</f>
        <v>PROFESSOR</v>
      </c>
      <c r="E15" t="str">
        <f>"Efetivo-Inativo I- RJUSM"</f>
        <v>Efetivo-Inativo I- RJUSM</v>
      </c>
      <c r="F15" t="str">
        <f>"R$ 1.593,46"</f>
        <v>R$ 1.593,46</v>
      </c>
      <c r="G15" t="str">
        <f>"R$ 3.585,28"</f>
        <v>R$ 3.585,28</v>
      </c>
      <c r="H15" t="str">
        <f t="shared" si="0"/>
        <v>R$ 0,00</v>
      </c>
      <c r="I15" t="str">
        <f>"R$ 3.585,28"</f>
        <v>R$ 3.585,28</v>
      </c>
      <c r="J15" t="str">
        <f>"R$ 1.396,51"</f>
        <v>R$ 1.396,51</v>
      </c>
      <c r="K15" t="str">
        <f>"R$ 2.188,77"</f>
        <v>R$ 2.188,77</v>
      </c>
    </row>
    <row r="16" spans="1:11" x14ac:dyDescent="0.25">
      <c r="A16" t="str">
        <f>"03642488 / 1"</f>
        <v>03642488 / 1</v>
      </c>
      <c r="B16" t="str">
        <f>"13° Salário Anual"</f>
        <v>13° Salário Anual</v>
      </c>
      <c r="C16" t="str">
        <f>"Adolfo Jose Cardoso Bastos"</f>
        <v>Adolfo Jose Cardoso Bastos</v>
      </c>
      <c r="D16" t="str">
        <f>"PENSIONISTA DE PROFESSOR"</f>
        <v>PENSIONISTA DE PROFESSOR</v>
      </c>
      <c r="E16" t="str">
        <f>"Pensionista"</f>
        <v>Pensionista</v>
      </c>
      <c r="F16" t="str">
        <f>"R$ 1.593,46"</f>
        <v>R$ 1.593,46</v>
      </c>
      <c r="G16" t="str">
        <f>"R$ 1.593,46"</f>
        <v>R$ 1.593,46</v>
      </c>
      <c r="H16" t="str">
        <f t="shared" si="0"/>
        <v>R$ 0,00</v>
      </c>
      <c r="I16" t="str">
        <f>"R$ 1.593,46"</f>
        <v>R$ 1.593,46</v>
      </c>
      <c r="J16" t="str">
        <f>"R$ 796,73"</f>
        <v>R$ 796,73</v>
      </c>
      <c r="K16" t="str">
        <f>"R$ 796,73"</f>
        <v>R$ 796,73</v>
      </c>
    </row>
    <row r="17" spans="1:11" x14ac:dyDescent="0.25">
      <c r="A17" t="str">
        <f>"03642488 / 1"</f>
        <v>03642488 / 1</v>
      </c>
      <c r="B17" t="str">
        <f>"Folha Mensal"</f>
        <v>Folha Mensal</v>
      </c>
      <c r="C17" t="str">
        <f>"Adolfo Jose Cardoso Bastos"</f>
        <v>Adolfo Jose Cardoso Bastos</v>
      </c>
      <c r="D17" t="str">
        <f>"PENSIONISTA DE PROFESSOR"</f>
        <v>PENSIONISTA DE PROFESSOR</v>
      </c>
      <c r="E17" t="str">
        <f>"Pensionista"</f>
        <v>Pensionista</v>
      </c>
      <c r="F17" t="str">
        <f>"R$ 1.593,46"</f>
        <v>R$ 1.593,46</v>
      </c>
      <c r="G17" t="str">
        <f>"R$ 1.593,46"</f>
        <v>R$ 1.593,46</v>
      </c>
      <c r="H17" t="str">
        <f t="shared" si="0"/>
        <v>R$ 0,00</v>
      </c>
      <c r="I17" t="str">
        <f>"R$ 1.593,46"</f>
        <v>R$ 1.593,46</v>
      </c>
      <c r="J17" t="str">
        <f>"R$ 0,00"</f>
        <v>R$ 0,00</v>
      </c>
      <c r="K17" t="str">
        <f>"R$ 1.593,46"</f>
        <v>R$ 1.593,46</v>
      </c>
    </row>
    <row r="18" spans="1:11" x14ac:dyDescent="0.25">
      <c r="A18" t="str">
        <f>"00296856 / 2"</f>
        <v>00296856 / 2</v>
      </c>
      <c r="B18" t="str">
        <f>"13° Salário Anual"</f>
        <v>13° Salário Anual</v>
      </c>
      <c r="C18" t="str">
        <f>"Adonaide Socorro Torres Teixeira"</f>
        <v>Adonaide Socorro Torres Teixeira</v>
      </c>
      <c r="D18" t="str">
        <f>"PROFESSOR NIVEL II"</f>
        <v>PROFESSOR NIVEL II</v>
      </c>
      <c r="E18" t="str">
        <f>"Efetivo-Inativo I- RJUSM"</f>
        <v>Efetivo-Inativo I- RJUSM</v>
      </c>
      <c r="F18" t="str">
        <f>"R$ 4.143,03"</f>
        <v>R$ 4.143,03</v>
      </c>
      <c r="G18" t="str">
        <f>"R$ 5.178,78"</f>
        <v>R$ 5.178,78</v>
      </c>
      <c r="H18" t="str">
        <f t="shared" si="0"/>
        <v>R$ 0,00</v>
      </c>
      <c r="I18" t="str">
        <f>"R$ 5.178,78"</f>
        <v>R$ 5.178,78</v>
      </c>
      <c r="J18" t="str">
        <f>"R$ 3.092,05"</f>
        <v>R$ 3.092,05</v>
      </c>
      <c r="K18" t="str">
        <f>"R$ 2.086,73"</f>
        <v>R$ 2.086,73</v>
      </c>
    </row>
    <row r="19" spans="1:11" x14ac:dyDescent="0.25">
      <c r="A19" t="str">
        <f>"00296856 / 2"</f>
        <v>00296856 / 2</v>
      </c>
      <c r="B19" t="str">
        <f>"Folha Mensal"</f>
        <v>Folha Mensal</v>
      </c>
      <c r="C19" t="str">
        <f>"Adonaide Socorro Torres Teixeira"</f>
        <v>Adonaide Socorro Torres Teixeira</v>
      </c>
      <c r="D19" t="str">
        <f>"PROFESSOR NIVEL II"</f>
        <v>PROFESSOR NIVEL II</v>
      </c>
      <c r="E19" t="str">
        <f>"Efetivo-Inativo I- RJUSM"</f>
        <v>Efetivo-Inativo I- RJUSM</v>
      </c>
      <c r="F19" t="str">
        <f>"R$ 4.143,03"</f>
        <v>R$ 4.143,03</v>
      </c>
      <c r="G19" t="str">
        <f>"R$ 5.178,78"</f>
        <v>R$ 5.178,78</v>
      </c>
      <c r="H19" t="str">
        <f t="shared" si="0"/>
        <v>R$ 0,00</v>
      </c>
      <c r="I19" t="str">
        <f>"R$ 5.178,78"</f>
        <v>R$ 5.178,78</v>
      </c>
      <c r="J19" t="str">
        <f>"R$ 1.905,23"</f>
        <v>R$ 1.905,23</v>
      </c>
      <c r="K19" t="str">
        <f>"R$ 3.273,55"</f>
        <v>R$ 3.273,55</v>
      </c>
    </row>
    <row r="20" spans="1:11" x14ac:dyDescent="0.25">
      <c r="A20" t="str">
        <f>"00269514 / 2"</f>
        <v>00269514 / 2</v>
      </c>
      <c r="B20" t="str">
        <f>"13° Salário Anual"</f>
        <v>13° Salário Anual</v>
      </c>
      <c r="C20" t="str">
        <f>"Adria Ferreira de Menezes"</f>
        <v>Adria Ferreira de Menezes</v>
      </c>
      <c r="D20" t="str">
        <f>"ENFERMEIRO"</f>
        <v>ENFERMEIRO</v>
      </c>
      <c r="E20" t="str">
        <f>"Efetivo-Inativos II-RJUSM"</f>
        <v>Efetivo-Inativos II-RJUSM</v>
      </c>
      <c r="F20" t="str">
        <f>"R$ 1.919,82"</f>
        <v>R$ 1.919,82</v>
      </c>
      <c r="G20" t="str">
        <f>"R$ 335,96"</f>
        <v>R$ 335,96</v>
      </c>
      <c r="H20" t="str">
        <f t="shared" si="0"/>
        <v>R$ 0,00</v>
      </c>
      <c r="I20" t="str">
        <f>"R$ 335,96"</f>
        <v>R$ 335,96</v>
      </c>
      <c r="J20" t="str">
        <f>"R$ 0,00"</f>
        <v>R$ 0,00</v>
      </c>
      <c r="K20" t="str">
        <f>"R$ 335,96"</f>
        <v>R$ 335,96</v>
      </c>
    </row>
    <row r="21" spans="1:11" x14ac:dyDescent="0.25">
      <c r="A21" t="str">
        <f>"00269514 / 2"</f>
        <v>00269514 / 2</v>
      </c>
      <c r="B21" t="str">
        <f>"Folha Mensal"</f>
        <v>Folha Mensal</v>
      </c>
      <c r="C21" t="str">
        <f>"Adria Ferreira de Menezes"</f>
        <v>Adria Ferreira de Menezes</v>
      </c>
      <c r="D21" t="str">
        <f>"ENFERMEIRO"</f>
        <v>ENFERMEIRO</v>
      </c>
      <c r="E21" t="str">
        <f>"Efetivo-Inativos II-RJUSM"</f>
        <v>Efetivo-Inativos II-RJUSM</v>
      </c>
      <c r="F21" t="str">
        <f>"R$ 1.919,82"</f>
        <v>R$ 1.919,82</v>
      </c>
      <c r="G21" t="str">
        <f>"R$ 2.015,81"</f>
        <v>R$ 2.015,81</v>
      </c>
      <c r="H21" t="str">
        <f t="shared" si="0"/>
        <v>R$ 0,00</v>
      </c>
      <c r="I21" t="str">
        <f>"R$ 2.015,81"</f>
        <v>R$ 2.015,81</v>
      </c>
      <c r="J21" t="str">
        <f>"R$ 0,00"</f>
        <v>R$ 0,00</v>
      </c>
      <c r="K21" t="str">
        <f>"R$ 2.015,81"</f>
        <v>R$ 2.015,81</v>
      </c>
    </row>
    <row r="22" spans="1:11" x14ac:dyDescent="0.25">
      <c r="A22" t="str">
        <f>"03641422 / 1"</f>
        <v>03641422 / 1</v>
      </c>
      <c r="B22" t="str">
        <f>"13° Salário Anual"</f>
        <v>13° Salário Anual</v>
      </c>
      <c r="C22" t="str">
        <f>"Adriana da Silva Aleixo"</f>
        <v>Adriana da Silva Aleixo</v>
      </c>
      <c r="D22" t="str">
        <f>"PENSIONISTA"</f>
        <v>PENSIONISTA</v>
      </c>
      <c r="E22" t="str">
        <f>"Pensionista"</f>
        <v>Pensionista</v>
      </c>
      <c r="F22" t="str">
        <f>"R$ 1.775,70"</f>
        <v>R$ 1.775,70</v>
      </c>
      <c r="G22" t="str">
        <f>"R$ 1.479,75"</f>
        <v>R$ 1.479,75</v>
      </c>
      <c r="H22" t="str">
        <f t="shared" si="0"/>
        <v>R$ 0,00</v>
      </c>
      <c r="I22" t="str">
        <f>"R$ 1.479,75"</f>
        <v>R$ 1.479,75</v>
      </c>
      <c r="J22" t="str">
        <f>"R$ 739,87"</f>
        <v>R$ 739,87</v>
      </c>
      <c r="K22" t="str">
        <f>"R$ 739,88"</f>
        <v>R$ 739,88</v>
      </c>
    </row>
    <row r="23" spans="1:11" x14ac:dyDescent="0.25">
      <c r="A23" t="str">
        <f>"03641422 / 1"</f>
        <v>03641422 / 1</v>
      </c>
      <c r="B23" t="str">
        <f>"Folha Mensal"</f>
        <v>Folha Mensal</v>
      </c>
      <c r="C23" t="str">
        <f>"Adriana da Silva Aleixo"</f>
        <v>Adriana da Silva Aleixo</v>
      </c>
      <c r="D23" t="str">
        <f>"PENSIONISTA"</f>
        <v>PENSIONISTA</v>
      </c>
      <c r="E23" t="str">
        <f>"Pensionista"</f>
        <v>Pensionista</v>
      </c>
      <c r="F23" t="str">
        <f>"R$ 1.775,70"</f>
        <v>R$ 1.775,70</v>
      </c>
      <c r="G23" t="str">
        <f>"R$ 1.775,70"</f>
        <v>R$ 1.775,70</v>
      </c>
      <c r="H23" t="str">
        <f t="shared" si="0"/>
        <v>R$ 0,00</v>
      </c>
      <c r="I23" t="str">
        <f>"R$ 1.775,70"</f>
        <v>R$ 1.775,70</v>
      </c>
      <c r="J23" t="str">
        <f>"R$ 0,00"</f>
        <v>R$ 0,00</v>
      </c>
      <c r="K23" t="str">
        <f>"R$ 1.775,70"</f>
        <v>R$ 1.775,70</v>
      </c>
    </row>
    <row r="24" spans="1:11" x14ac:dyDescent="0.25">
      <c r="A24" t="str">
        <f>"03641007 / 1"</f>
        <v>03641007 / 1</v>
      </c>
      <c r="B24" t="str">
        <f>"13° Salário Anual"</f>
        <v>13° Salário Anual</v>
      </c>
      <c r="C24" t="str">
        <f>"Adriano de Oliveira Correa"</f>
        <v>Adriano de Oliveira Correa</v>
      </c>
      <c r="D24" t="str">
        <f>"DAS 05"</f>
        <v>DAS 05</v>
      </c>
      <c r="E24" t="str">
        <f>"Comissionado"</f>
        <v>Comissionado</v>
      </c>
      <c r="F24" t="str">
        <f>"R$ 2.025,00"</f>
        <v>R$ 2.025,00</v>
      </c>
      <c r="G24" t="str">
        <f>"R$ 1.687,50"</f>
        <v>R$ 1.687,50</v>
      </c>
      <c r="H24" t="str">
        <f t="shared" si="0"/>
        <v>R$ 0,00</v>
      </c>
      <c r="I24" t="str">
        <f>"R$ 1.687,50"</f>
        <v>R$ 1.687,50</v>
      </c>
      <c r="J24" t="str">
        <f>"R$ 979,12"</f>
        <v>R$ 979,12</v>
      </c>
      <c r="K24" t="str">
        <f>"R$ 708,38"</f>
        <v>R$ 708,38</v>
      </c>
    </row>
    <row r="25" spans="1:11" x14ac:dyDescent="0.25">
      <c r="A25" t="str">
        <f>"03641007 / 1"</f>
        <v>03641007 / 1</v>
      </c>
      <c r="B25" t="str">
        <f>"Folha Mensal"</f>
        <v>Folha Mensal</v>
      </c>
      <c r="C25" t="str">
        <f>"Adriano de Oliveira Correa"</f>
        <v>Adriano de Oliveira Correa</v>
      </c>
      <c r="D25" t="str">
        <f>"DAS 05"</f>
        <v>DAS 05</v>
      </c>
      <c r="E25" t="str">
        <f>"Comissionado"</f>
        <v>Comissionado</v>
      </c>
      <c r="F25" t="str">
        <f>"R$ 2.025,00"</f>
        <v>R$ 2.025,00</v>
      </c>
      <c r="G25" t="str">
        <f>"R$ 2.025,00"</f>
        <v>R$ 2.025,00</v>
      </c>
      <c r="H25" t="str">
        <f t="shared" si="0"/>
        <v>R$ 0,00</v>
      </c>
      <c r="I25" t="str">
        <f>"R$ 2.025,00"</f>
        <v>R$ 2.025,00</v>
      </c>
      <c r="J25" t="str">
        <f>"R$ 165,75"</f>
        <v>R$ 165,75</v>
      </c>
      <c r="K25" t="str">
        <f>"R$ 1.859,25"</f>
        <v>R$ 1.859,25</v>
      </c>
    </row>
    <row r="26" spans="1:11" x14ac:dyDescent="0.25">
      <c r="A26" t="str">
        <f>"00004219 / 2"</f>
        <v>00004219 / 2</v>
      </c>
      <c r="B26" t="str">
        <f>"13° Salário Anual"</f>
        <v>13° Salário Anual</v>
      </c>
      <c r="C26" t="str">
        <f>"Agueda Moreira da Costa"</f>
        <v>Agueda Moreira da Costa</v>
      </c>
      <c r="D26" t="str">
        <f>"PROFESSOR NIVEL III"</f>
        <v>PROFESSOR NIVEL III</v>
      </c>
      <c r="E26" t="str">
        <f>"Efetivo-Inativos II-RJUSM"</f>
        <v>Efetivo-Inativos II-RJUSM</v>
      </c>
      <c r="F26" t="str">
        <f>"R$ 5.449,64"</f>
        <v>R$ 5.449,64</v>
      </c>
      <c r="G26" t="str">
        <f>"R$ 11.335,24"</f>
        <v>R$ 11.335,24</v>
      </c>
      <c r="H26" t="str">
        <f t="shared" si="0"/>
        <v>R$ 0,00</v>
      </c>
      <c r="I26" t="str">
        <f>"R$ 11.335,24"</f>
        <v>R$ 11.335,24</v>
      </c>
      <c r="J26" t="str">
        <f>"R$ 8.446,71"</f>
        <v>R$ 8.446,71</v>
      </c>
      <c r="K26" t="str">
        <f>"R$ 2.888,53"</f>
        <v>R$ 2.888,53</v>
      </c>
    </row>
    <row r="27" spans="1:11" x14ac:dyDescent="0.25">
      <c r="A27" t="str">
        <f>"00004219 / 2"</f>
        <v>00004219 / 2</v>
      </c>
      <c r="B27" t="str">
        <f>"Folha Mensal"</f>
        <v>Folha Mensal</v>
      </c>
      <c r="C27" t="str">
        <f>"Agueda Moreira da Costa"</f>
        <v>Agueda Moreira da Costa</v>
      </c>
      <c r="D27" t="str">
        <f>"PROFESSOR NIVEL III"</f>
        <v>PROFESSOR NIVEL III</v>
      </c>
      <c r="E27" t="str">
        <f>"Efetivo-Inativos II-RJUSM"</f>
        <v>Efetivo-Inativos II-RJUSM</v>
      </c>
      <c r="F27" t="str">
        <f>"R$ 5.449,64"</f>
        <v>R$ 5.449,64</v>
      </c>
      <c r="G27" t="str">
        <f>"R$ 11.335,24"</f>
        <v>R$ 11.335,24</v>
      </c>
      <c r="H27" t="str">
        <f t="shared" si="0"/>
        <v>R$ 0,00</v>
      </c>
      <c r="I27" t="str">
        <f>"R$ 11.335,24"</f>
        <v>R$ 11.335,24</v>
      </c>
      <c r="J27" t="str">
        <f>"R$ 2.779,09"</f>
        <v>R$ 2.779,09</v>
      </c>
      <c r="K27" t="str">
        <f>"R$ 8.556,15"</f>
        <v>R$ 8.556,15</v>
      </c>
    </row>
    <row r="28" spans="1:11" x14ac:dyDescent="0.25">
      <c r="A28" t="str">
        <f>"00002623 / 1"</f>
        <v>00002623 / 1</v>
      </c>
      <c r="B28" t="str">
        <f>"13° Salário Anual"</f>
        <v>13° Salário Anual</v>
      </c>
      <c r="C28" t="str">
        <f>"Aida Menezes de Freitas da Silva"</f>
        <v>Aida Menezes de Freitas da Silva</v>
      </c>
      <c r="D28" t="str">
        <f>"PROFESSOR NIVEL I"</f>
        <v>PROFESSOR NIVEL I</v>
      </c>
      <c r="E28" t="str">
        <f>"Efetivo-Inativos II-RJUSM"</f>
        <v>Efetivo-Inativos II-RJUSM</v>
      </c>
      <c r="F28" t="str">
        <f>"R$ 2.390,21"</f>
        <v>R$ 2.390,21</v>
      </c>
      <c r="G28" t="str">
        <f>"R$ 3.107,27"</f>
        <v>R$ 3.107,27</v>
      </c>
      <c r="H28" t="str">
        <f t="shared" si="0"/>
        <v>R$ 0,00</v>
      </c>
      <c r="I28" t="str">
        <f>"R$ 3.107,27"</f>
        <v>R$ 3.107,27</v>
      </c>
      <c r="J28" t="str">
        <f>"R$ 1.553,63"</f>
        <v>R$ 1.553,63</v>
      </c>
      <c r="K28" t="str">
        <f>"R$ 1.553,64"</f>
        <v>R$ 1.553,64</v>
      </c>
    </row>
    <row r="29" spans="1:11" x14ac:dyDescent="0.25">
      <c r="A29" t="str">
        <f>"00002623 / 1"</f>
        <v>00002623 / 1</v>
      </c>
      <c r="B29" t="str">
        <f>"Folha Mensal"</f>
        <v>Folha Mensal</v>
      </c>
      <c r="C29" t="str">
        <f>"Aida Menezes de Freitas da Silva"</f>
        <v>Aida Menezes de Freitas da Silva</v>
      </c>
      <c r="D29" t="str">
        <f>"PROFESSOR NIVEL I"</f>
        <v>PROFESSOR NIVEL I</v>
      </c>
      <c r="E29" t="str">
        <f>"Efetivo-Inativos II-RJUSM"</f>
        <v>Efetivo-Inativos II-RJUSM</v>
      </c>
      <c r="F29" t="str">
        <f>"R$ 2.390,21"</f>
        <v>R$ 2.390,21</v>
      </c>
      <c r="G29" t="str">
        <f>"R$ 3.107,27"</f>
        <v>R$ 3.107,27</v>
      </c>
      <c r="H29" t="str">
        <f t="shared" si="0"/>
        <v>R$ 0,00</v>
      </c>
      <c r="I29" t="str">
        <f>"R$ 3.107,27"</f>
        <v>R$ 3.107,27</v>
      </c>
      <c r="J29" t="str">
        <f>"R$ 1.006,04"</f>
        <v>R$ 1.006,04</v>
      </c>
      <c r="K29" t="str">
        <f>"R$ 2.101,23"</f>
        <v>R$ 2.101,23</v>
      </c>
    </row>
    <row r="30" spans="1:11" x14ac:dyDescent="0.25">
      <c r="A30" t="str">
        <f>"00100137 / 1"</f>
        <v>00100137 / 1</v>
      </c>
      <c r="B30" t="str">
        <f>"13° Salário Anual"</f>
        <v>13° Salário Anual</v>
      </c>
      <c r="C30" t="str">
        <f>"Aildna Conceicao Ferreira da Silva"</f>
        <v>Aildna Conceicao Ferreira da Silva</v>
      </c>
      <c r="D30" t="str">
        <f>"DAS 03 B"</f>
        <v>DAS 03 B</v>
      </c>
      <c r="E30" t="str">
        <f>"Comissionado"</f>
        <v>Comissionado</v>
      </c>
      <c r="F30" t="str">
        <f>"R$ 1.404,28"</f>
        <v>R$ 1.404,28</v>
      </c>
      <c r="G30" t="str">
        <f>"R$ 1.404,28"</f>
        <v>R$ 1.404,28</v>
      </c>
      <c r="H30" t="str">
        <f t="shared" si="0"/>
        <v>R$ 0,00</v>
      </c>
      <c r="I30" t="str">
        <f>"R$ 1.404,28"</f>
        <v>R$ 1.404,28</v>
      </c>
      <c r="J30" t="str">
        <f>"R$ 812,02"</f>
        <v>R$ 812,02</v>
      </c>
      <c r="K30" t="str">
        <f>"R$ 592,26"</f>
        <v>R$ 592,26</v>
      </c>
    </row>
    <row r="31" spans="1:11" x14ac:dyDescent="0.25">
      <c r="A31" t="str">
        <f>"00100137 / 1"</f>
        <v>00100137 / 1</v>
      </c>
      <c r="B31" t="str">
        <f>"Folha Mensal"</f>
        <v>Folha Mensal</v>
      </c>
      <c r="C31" t="str">
        <f>"Aildna Conceicao Ferreira da Silva"</f>
        <v>Aildna Conceicao Ferreira da Silva</v>
      </c>
      <c r="D31" t="str">
        <f>"DAS 03 B"</f>
        <v>DAS 03 B</v>
      </c>
      <c r="E31" t="str">
        <f>"Comissionado"</f>
        <v>Comissionado</v>
      </c>
      <c r="F31" t="str">
        <f>"R$ 1.404,28"</f>
        <v>R$ 1.404,28</v>
      </c>
      <c r="G31" t="str">
        <f>"R$ 1.404,28"</f>
        <v>R$ 1.404,28</v>
      </c>
      <c r="H31" t="str">
        <f>"R$ 339,27"</f>
        <v>R$ 339,27</v>
      </c>
      <c r="I31" t="str">
        <f>"R$ 1.743,55"</f>
        <v>R$ 1.743,55</v>
      </c>
      <c r="J31" t="str">
        <f>"R$ 194,13"</f>
        <v>R$ 194,13</v>
      </c>
      <c r="K31" t="str">
        <f>"R$ 1.549,42"</f>
        <v>R$ 1.549,42</v>
      </c>
    </row>
    <row r="32" spans="1:11" x14ac:dyDescent="0.25">
      <c r="A32" t="str">
        <f>"00001341 / 1"</f>
        <v>00001341 / 1</v>
      </c>
      <c r="B32" t="str">
        <f>"13° Salário Anual"</f>
        <v>13° Salário Anual</v>
      </c>
      <c r="C32" t="str">
        <f>"Alaide Vieira Goncalves"</f>
        <v>Alaide Vieira Goncalves</v>
      </c>
      <c r="D32" t="str">
        <f>"PROP IDADE"</f>
        <v>PROP IDADE</v>
      </c>
      <c r="E32" t="str">
        <f>"Efetivo-Inativo I- RJUSM"</f>
        <v>Efetivo-Inativo I- RJUSM</v>
      </c>
      <c r="F32" t="str">
        <f>"R$ 1.100,00"</f>
        <v>R$ 1.100,00</v>
      </c>
      <c r="G32" t="str">
        <f>"R$ 1.100,00"</f>
        <v>R$ 1.100,00</v>
      </c>
      <c r="H32" t="str">
        <f t="shared" ref="H32:H63" si="1">"R$ 0,00"</f>
        <v>R$ 0,00</v>
      </c>
      <c r="I32" t="str">
        <f>"R$ 1.100,00"</f>
        <v>R$ 1.100,00</v>
      </c>
      <c r="J32" t="str">
        <f>"R$ 550,00"</f>
        <v>R$ 550,00</v>
      </c>
      <c r="K32" t="str">
        <f>"R$ 550,00"</f>
        <v>R$ 550,00</v>
      </c>
    </row>
    <row r="33" spans="1:11" x14ac:dyDescent="0.25">
      <c r="A33" t="str">
        <f>"00001341 / 1"</f>
        <v>00001341 / 1</v>
      </c>
      <c r="B33" t="str">
        <f>"Folha Mensal"</f>
        <v>Folha Mensal</v>
      </c>
      <c r="C33" t="str">
        <f>"Alaide Vieira Goncalves"</f>
        <v>Alaide Vieira Goncalves</v>
      </c>
      <c r="D33" t="str">
        <f>"PROP IDADE"</f>
        <v>PROP IDADE</v>
      </c>
      <c r="E33" t="str">
        <f>"Efetivo-Inativo I- RJUSM"</f>
        <v>Efetivo-Inativo I- RJUSM</v>
      </c>
      <c r="F33" t="str">
        <f>"R$ 1.100,00"</f>
        <v>R$ 1.100,00</v>
      </c>
      <c r="G33" t="str">
        <f>"R$ 1.100,00"</f>
        <v>R$ 1.100,00</v>
      </c>
      <c r="H33" t="str">
        <f t="shared" si="1"/>
        <v>R$ 0,00</v>
      </c>
      <c r="I33" t="str">
        <f>"R$ 1.100,00"</f>
        <v>R$ 1.100,00</v>
      </c>
      <c r="J33" t="str">
        <f>"R$ 0,00"</f>
        <v>R$ 0,00</v>
      </c>
      <c r="K33" t="str">
        <f>"R$ 1.100,00"</f>
        <v>R$ 1.100,00</v>
      </c>
    </row>
    <row r="34" spans="1:11" x14ac:dyDescent="0.25">
      <c r="A34" t="str">
        <f>"03640990 / 1"</f>
        <v>03640990 / 1</v>
      </c>
      <c r="B34" t="str">
        <f>"13° Salário Anual"</f>
        <v>13° Salário Anual</v>
      </c>
      <c r="C34" t="str">
        <f>"Alan Maciel de Oliveira"</f>
        <v>Alan Maciel de Oliveira</v>
      </c>
      <c r="D34" t="str">
        <f>"DAS 05"</f>
        <v>DAS 05</v>
      </c>
      <c r="E34" t="str">
        <f>"Comissionado"</f>
        <v>Comissionado</v>
      </c>
      <c r="F34" t="str">
        <f>"R$ 2.025,00"</f>
        <v>R$ 2.025,00</v>
      </c>
      <c r="G34" t="str">
        <f>"R$ 1.687,50"</f>
        <v>R$ 1.687,50</v>
      </c>
      <c r="H34" t="str">
        <f t="shared" si="1"/>
        <v>R$ 0,00</v>
      </c>
      <c r="I34" t="str">
        <f>"R$ 1.687,50"</f>
        <v>R$ 1.687,50</v>
      </c>
      <c r="J34" t="str">
        <f>"R$ 979,12"</f>
        <v>R$ 979,12</v>
      </c>
      <c r="K34" t="str">
        <f>"R$ 708,38"</f>
        <v>R$ 708,38</v>
      </c>
    </row>
    <row r="35" spans="1:11" x14ac:dyDescent="0.25">
      <c r="A35" t="str">
        <f>"03640990 / 1"</f>
        <v>03640990 / 1</v>
      </c>
      <c r="B35" t="str">
        <f>"Folha Mensal"</f>
        <v>Folha Mensal</v>
      </c>
      <c r="C35" t="str">
        <f>"Alan Maciel de Oliveira"</f>
        <v>Alan Maciel de Oliveira</v>
      </c>
      <c r="D35" t="str">
        <f>"DAS 05"</f>
        <v>DAS 05</v>
      </c>
      <c r="E35" t="str">
        <f>"Comissionado"</f>
        <v>Comissionado</v>
      </c>
      <c r="F35" t="str">
        <f>"R$ 2.025,00"</f>
        <v>R$ 2.025,00</v>
      </c>
      <c r="G35" t="str">
        <f>"R$ 2.025,00"</f>
        <v>R$ 2.025,00</v>
      </c>
      <c r="H35" t="str">
        <f t="shared" si="1"/>
        <v>R$ 0,00</v>
      </c>
      <c r="I35" t="str">
        <f>"R$ 2.025,00"</f>
        <v>R$ 2.025,00</v>
      </c>
      <c r="J35" t="str">
        <f>"R$ 165,75"</f>
        <v>R$ 165,75</v>
      </c>
      <c r="K35" t="str">
        <f>"R$ 1.859,25"</f>
        <v>R$ 1.859,25</v>
      </c>
    </row>
    <row r="36" spans="1:11" x14ac:dyDescent="0.25">
      <c r="A36" t="str">
        <f>"00000124 / 1"</f>
        <v>00000124 / 1</v>
      </c>
      <c r="B36" t="str">
        <f>"13° Salário Anual"</f>
        <v>13° Salário Anual</v>
      </c>
      <c r="C36" t="str">
        <f>"Albenizia Santa Pinheiro da Costa"</f>
        <v>Albenizia Santa Pinheiro da Costa</v>
      </c>
      <c r="D36" t="str">
        <f>"PROFESSOR NIVEL III"</f>
        <v>PROFESSOR NIVEL III</v>
      </c>
      <c r="E36" t="str">
        <f>"Efetivo-Inativos II-RJUSM"</f>
        <v>Efetivo-Inativos II-RJUSM</v>
      </c>
      <c r="F36" t="str">
        <f>"R$ 6.055,17"</f>
        <v>R$ 6.055,17</v>
      </c>
      <c r="G36" t="str">
        <f>"R$ 7.871,72"</f>
        <v>R$ 7.871,72</v>
      </c>
      <c r="H36" t="str">
        <f t="shared" si="1"/>
        <v>R$ 0,00</v>
      </c>
      <c r="I36" t="str">
        <f>"R$ 7.871,72"</f>
        <v>R$ 7.871,72</v>
      </c>
      <c r="J36" t="str">
        <f>"R$ 5.410,94"</f>
        <v>R$ 5.410,94</v>
      </c>
      <c r="K36" t="str">
        <f>"R$ 2.460,78"</f>
        <v>R$ 2.460,78</v>
      </c>
    </row>
    <row r="37" spans="1:11" x14ac:dyDescent="0.25">
      <c r="A37" t="str">
        <f>"00000124 / 1"</f>
        <v>00000124 / 1</v>
      </c>
      <c r="B37" t="str">
        <f>"Folha Mensal"</f>
        <v>Folha Mensal</v>
      </c>
      <c r="C37" t="str">
        <f>"Albenizia Santa Pinheiro da Costa"</f>
        <v>Albenizia Santa Pinheiro da Costa</v>
      </c>
      <c r="D37" t="str">
        <f>"PROFESSOR NIVEL III"</f>
        <v>PROFESSOR NIVEL III</v>
      </c>
      <c r="E37" t="str">
        <f>"Efetivo-Inativos II-RJUSM"</f>
        <v>Efetivo-Inativos II-RJUSM</v>
      </c>
      <c r="F37" t="str">
        <f>"R$ 6.055,17"</f>
        <v>R$ 6.055,17</v>
      </c>
      <c r="G37" t="str">
        <f>"R$ 7.871,72"</f>
        <v>R$ 7.871,72</v>
      </c>
      <c r="H37" t="str">
        <f t="shared" si="1"/>
        <v>R$ 0,00</v>
      </c>
      <c r="I37" t="str">
        <f>"R$ 7.871,72"</f>
        <v>R$ 7.871,72</v>
      </c>
      <c r="J37" t="str">
        <f>"R$ 3.344,74"</f>
        <v>R$ 3.344,74</v>
      </c>
      <c r="K37" t="str">
        <f>"R$ 4.526,98"</f>
        <v>R$ 4.526,98</v>
      </c>
    </row>
    <row r="38" spans="1:11" x14ac:dyDescent="0.25">
      <c r="A38" t="str">
        <f>"03640566 / 1"</f>
        <v>03640566 / 1</v>
      </c>
      <c r="B38" t="str">
        <f>"13° Salário Anual"</f>
        <v>13° Salário Anual</v>
      </c>
      <c r="C38" t="str">
        <f>"Alberto Pereira Batalha"</f>
        <v>Alberto Pereira Batalha</v>
      </c>
      <c r="D38" t="str">
        <f>"DAS 05"</f>
        <v>DAS 05</v>
      </c>
      <c r="E38" t="str">
        <f>"Comissionado"</f>
        <v>Comissionado</v>
      </c>
      <c r="F38" t="str">
        <f>"R$ 2.025,00"</f>
        <v>R$ 2.025,00</v>
      </c>
      <c r="G38" t="str">
        <f>"R$ 1.856,25"</f>
        <v>R$ 1.856,25</v>
      </c>
      <c r="H38" t="str">
        <f t="shared" si="1"/>
        <v>R$ 0,00</v>
      </c>
      <c r="I38" t="str">
        <f>"R$ 1.856,25"</f>
        <v>R$ 1.856,25</v>
      </c>
      <c r="J38" t="str">
        <f>"R$ 1.078,68"</f>
        <v>R$ 1.078,68</v>
      </c>
      <c r="K38" t="str">
        <f>"R$ 777,57"</f>
        <v>R$ 777,57</v>
      </c>
    </row>
    <row r="39" spans="1:11" x14ac:dyDescent="0.25">
      <c r="A39" t="str">
        <f>"03640566 / 1"</f>
        <v>03640566 / 1</v>
      </c>
      <c r="B39" t="str">
        <f>"Folha Mensal"</f>
        <v>Folha Mensal</v>
      </c>
      <c r="C39" t="str">
        <f>"Alberto Pereira Batalha"</f>
        <v>Alberto Pereira Batalha</v>
      </c>
      <c r="D39" t="str">
        <f>"DAS 05"</f>
        <v>DAS 05</v>
      </c>
      <c r="E39" t="str">
        <f>"Comissionado"</f>
        <v>Comissionado</v>
      </c>
      <c r="F39" t="str">
        <f>"R$ 2.025,00"</f>
        <v>R$ 2.025,00</v>
      </c>
      <c r="G39" t="str">
        <f>"R$ 2.025,00"</f>
        <v>R$ 2.025,00</v>
      </c>
      <c r="H39" t="str">
        <f t="shared" si="1"/>
        <v>R$ 0,00</v>
      </c>
      <c r="I39" t="str">
        <f>"R$ 2.025,00"</f>
        <v>R$ 2.025,00</v>
      </c>
      <c r="J39" t="str">
        <f>"R$ 165,75"</f>
        <v>R$ 165,75</v>
      </c>
      <c r="K39" t="str">
        <f>"R$ 1.859,25"</f>
        <v>R$ 1.859,25</v>
      </c>
    </row>
    <row r="40" spans="1:11" x14ac:dyDescent="0.25">
      <c r="A40" t="str">
        <f>"03641929 / 1"</f>
        <v>03641929 / 1</v>
      </c>
      <c r="B40" t="str">
        <f>"13° Salário Anual"</f>
        <v>13° Salário Anual</v>
      </c>
      <c r="C40" t="str">
        <f>"Alcides Barbosa da Cruz Filho"</f>
        <v>Alcides Barbosa da Cruz Filho</v>
      </c>
      <c r="D40" t="str">
        <f>"PENSIONISTA"</f>
        <v>PENSIONISTA</v>
      </c>
      <c r="E40" t="str">
        <f>"Pensionista"</f>
        <v>Pensionista</v>
      </c>
      <c r="F40" t="str">
        <f>"R$ 1.398,49"</f>
        <v>R$ 1.398,49</v>
      </c>
      <c r="G40" t="str">
        <f>"R$ 611,83"</f>
        <v>R$ 611,83</v>
      </c>
      <c r="H40" t="str">
        <f t="shared" si="1"/>
        <v>R$ 0,00</v>
      </c>
      <c r="I40" t="str">
        <f>"R$ 611,83"</f>
        <v>R$ 611,83</v>
      </c>
      <c r="J40" t="str">
        <f>"R$ 0,00"</f>
        <v>R$ 0,00</v>
      </c>
      <c r="K40" t="str">
        <f>"R$ 611,83"</f>
        <v>R$ 611,83</v>
      </c>
    </row>
    <row r="41" spans="1:11" x14ac:dyDescent="0.25">
      <c r="A41" t="str">
        <f>"03641929 / 1"</f>
        <v>03641929 / 1</v>
      </c>
      <c r="B41" t="str">
        <f>"Folha Mensal"</f>
        <v>Folha Mensal</v>
      </c>
      <c r="C41" t="str">
        <f>"Alcides Barbosa da Cruz Filho"</f>
        <v>Alcides Barbosa da Cruz Filho</v>
      </c>
      <c r="D41" t="str">
        <f>"PENSIONISTA"</f>
        <v>PENSIONISTA</v>
      </c>
      <c r="E41" t="str">
        <f>"Pensionista"</f>
        <v>Pensionista</v>
      </c>
      <c r="F41" t="str">
        <f>"R$ 1.398,49"</f>
        <v>R$ 1.398,49</v>
      </c>
      <c r="G41" t="str">
        <f>"R$ 1.468,41"</f>
        <v>R$ 1.468,41</v>
      </c>
      <c r="H41" t="str">
        <f t="shared" si="1"/>
        <v>R$ 0,00</v>
      </c>
      <c r="I41" t="str">
        <f>"R$ 1.468,41"</f>
        <v>R$ 1.468,41</v>
      </c>
      <c r="J41" t="str">
        <f>"R$ 0,00"</f>
        <v>R$ 0,00</v>
      </c>
      <c r="K41" t="str">
        <f>"R$ 1.468,41"</f>
        <v>R$ 1.468,41</v>
      </c>
    </row>
    <row r="42" spans="1:11" x14ac:dyDescent="0.25">
      <c r="A42" t="str">
        <f>"00008354 / 1"</f>
        <v>00008354 / 1</v>
      </c>
      <c r="B42" t="str">
        <f>"13° Salário Anual"</f>
        <v>13° Salário Anual</v>
      </c>
      <c r="C42" t="str">
        <f>"Alda Antonia de Souza Soares"</f>
        <v>Alda Antonia de Souza Soares</v>
      </c>
      <c r="D42" t="str">
        <f>"PROFESSOR"</f>
        <v>PROFESSOR</v>
      </c>
      <c r="E42" t="str">
        <f t="shared" ref="E42:E49" si="2">"Efetivo-Inativo I- RJUSM"</f>
        <v>Efetivo-Inativo I- RJUSM</v>
      </c>
      <c r="F42" t="str">
        <f>"R$ 1.593,46"</f>
        <v>R$ 1.593,46</v>
      </c>
      <c r="G42" t="str">
        <f>"R$ 1.991,82"</f>
        <v>R$ 1.991,82</v>
      </c>
      <c r="H42" t="str">
        <f t="shared" si="1"/>
        <v>R$ 0,00</v>
      </c>
      <c r="I42" t="str">
        <f>"R$ 1.991,82"</f>
        <v>R$ 1.991,82</v>
      </c>
      <c r="J42" t="str">
        <f>"R$ 995,91"</f>
        <v>R$ 995,91</v>
      </c>
      <c r="K42" t="str">
        <f>"R$ 995,91"</f>
        <v>R$ 995,91</v>
      </c>
    </row>
    <row r="43" spans="1:11" x14ac:dyDescent="0.25">
      <c r="A43" t="str">
        <f>"00008354 / 1"</f>
        <v>00008354 / 1</v>
      </c>
      <c r="B43" t="str">
        <f>"Folha Mensal"</f>
        <v>Folha Mensal</v>
      </c>
      <c r="C43" t="str">
        <f>"Alda Antonia de Souza Soares"</f>
        <v>Alda Antonia de Souza Soares</v>
      </c>
      <c r="D43" t="str">
        <f>"PROFESSOR"</f>
        <v>PROFESSOR</v>
      </c>
      <c r="E43" t="str">
        <f t="shared" si="2"/>
        <v>Efetivo-Inativo I- RJUSM</v>
      </c>
      <c r="F43" t="str">
        <f>"R$ 1.593,46"</f>
        <v>R$ 1.593,46</v>
      </c>
      <c r="G43" t="str">
        <f>"R$ 1.991,82"</f>
        <v>R$ 1.991,82</v>
      </c>
      <c r="H43" t="str">
        <f t="shared" si="1"/>
        <v>R$ 0,00</v>
      </c>
      <c r="I43" t="str">
        <f>"R$ 1.991,82"</f>
        <v>R$ 1.991,82</v>
      </c>
      <c r="J43" t="str">
        <f>"R$ 0,00"</f>
        <v>R$ 0,00</v>
      </c>
      <c r="K43" t="str">
        <f>"R$ 1.991,82"</f>
        <v>R$ 1.991,82</v>
      </c>
    </row>
    <row r="44" spans="1:11" x14ac:dyDescent="0.25">
      <c r="A44" t="str">
        <f>"00000116 / 1"</f>
        <v>00000116 / 1</v>
      </c>
      <c r="B44" t="str">
        <f>"13° Salário Anual"</f>
        <v>13° Salário Anual</v>
      </c>
      <c r="C44" t="str">
        <f>"Alda Maria de Araujo Teixeira"</f>
        <v>Alda Maria de Araujo Teixeira</v>
      </c>
      <c r="D44" t="str">
        <f>"PROFESSOR"</f>
        <v>PROFESSOR</v>
      </c>
      <c r="E44" t="str">
        <f t="shared" si="2"/>
        <v>Efetivo-Inativo I- RJUSM</v>
      </c>
      <c r="F44" t="str">
        <f>"R$ 1.593,46"</f>
        <v>R$ 1.593,46</v>
      </c>
      <c r="G44" t="str">
        <f>"R$ 1.991,82"</f>
        <v>R$ 1.991,82</v>
      </c>
      <c r="H44" t="str">
        <f t="shared" si="1"/>
        <v>R$ 0,00</v>
      </c>
      <c r="I44" t="str">
        <f>"R$ 1.991,82"</f>
        <v>R$ 1.991,82</v>
      </c>
      <c r="J44" t="str">
        <f>"R$ 995,91"</f>
        <v>R$ 995,91</v>
      </c>
      <c r="K44" t="str">
        <f>"R$ 995,91"</f>
        <v>R$ 995,91</v>
      </c>
    </row>
    <row r="45" spans="1:11" x14ac:dyDescent="0.25">
      <c r="A45" t="str">
        <f>"00000116 / 1"</f>
        <v>00000116 / 1</v>
      </c>
      <c r="B45" t="str">
        <f>"Folha Mensal"</f>
        <v>Folha Mensal</v>
      </c>
      <c r="C45" t="str">
        <f>"Alda Maria de Araujo Teixeira"</f>
        <v>Alda Maria de Araujo Teixeira</v>
      </c>
      <c r="D45" t="str">
        <f>"PROFESSOR"</f>
        <v>PROFESSOR</v>
      </c>
      <c r="E45" t="str">
        <f t="shared" si="2"/>
        <v>Efetivo-Inativo I- RJUSM</v>
      </c>
      <c r="F45" t="str">
        <f>"R$ 1.593,46"</f>
        <v>R$ 1.593,46</v>
      </c>
      <c r="G45" t="str">
        <f>"R$ 1.991,82"</f>
        <v>R$ 1.991,82</v>
      </c>
      <c r="H45" t="str">
        <f t="shared" si="1"/>
        <v>R$ 0,00</v>
      </c>
      <c r="I45" t="str">
        <f>"R$ 1.991,82"</f>
        <v>R$ 1.991,82</v>
      </c>
      <c r="J45" t="str">
        <f>"R$ 870,92"</f>
        <v>R$ 870,92</v>
      </c>
      <c r="K45" t="str">
        <f>"R$ 1.120,90"</f>
        <v>R$ 1.120,90</v>
      </c>
    </row>
    <row r="46" spans="1:11" x14ac:dyDescent="0.25">
      <c r="A46" t="str">
        <f>"00001813 / 1"</f>
        <v>00001813 / 1</v>
      </c>
      <c r="B46" t="str">
        <f>"13° Salário Anual"</f>
        <v>13° Salário Anual</v>
      </c>
      <c r="C46" t="str">
        <f>"Aldenora Pimentel Ferreira"</f>
        <v>Aldenora Pimentel Ferreira</v>
      </c>
      <c r="D46" t="str">
        <f>"INT TEMP CONTRIBUICAO"</f>
        <v>INT TEMP CONTRIBUICAO</v>
      </c>
      <c r="E46" t="str">
        <f t="shared" si="2"/>
        <v>Efetivo-Inativo I- RJUSM</v>
      </c>
      <c r="F46" t="str">
        <f>"R$ 1.100,00"</f>
        <v>R$ 1.100,00</v>
      </c>
      <c r="G46" t="str">
        <f>"R$ 1.375,00"</f>
        <v>R$ 1.375,00</v>
      </c>
      <c r="H46" t="str">
        <f t="shared" si="1"/>
        <v>R$ 0,00</v>
      </c>
      <c r="I46" t="str">
        <f>"R$ 1.375,00"</f>
        <v>R$ 1.375,00</v>
      </c>
      <c r="J46" t="str">
        <f>"R$ 687,50"</f>
        <v>R$ 687,50</v>
      </c>
      <c r="K46" t="str">
        <f>"R$ 687,50"</f>
        <v>R$ 687,50</v>
      </c>
    </row>
    <row r="47" spans="1:11" x14ac:dyDescent="0.25">
      <c r="A47" t="str">
        <f>"00001813 / 1"</f>
        <v>00001813 / 1</v>
      </c>
      <c r="B47" t="str">
        <f>"Folha Mensal"</f>
        <v>Folha Mensal</v>
      </c>
      <c r="C47" t="str">
        <f>"Aldenora Pimentel Ferreira"</f>
        <v>Aldenora Pimentel Ferreira</v>
      </c>
      <c r="D47" t="str">
        <f>"INT TEMP CONTRIBUICAO"</f>
        <v>INT TEMP CONTRIBUICAO</v>
      </c>
      <c r="E47" t="str">
        <f t="shared" si="2"/>
        <v>Efetivo-Inativo I- RJUSM</v>
      </c>
      <c r="F47" t="str">
        <f>"R$ 1.100,00"</f>
        <v>R$ 1.100,00</v>
      </c>
      <c r="G47" t="str">
        <f>"R$ 1.375,00"</f>
        <v>R$ 1.375,00</v>
      </c>
      <c r="H47" t="str">
        <f t="shared" si="1"/>
        <v>R$ 0,00</v>
      </c>
      <c r="I47" t="str">
        <f>"R$ 1.375,00"</f>
        <v>R$ 1.375,00</v>
      </c>
      <c r="J47" t="str">
        <f>"R$ 748,76"</f>
        <v>R$ 748,76</v>
      </c>
      <c r="K47" t="str">
        <f>"R$ 626,24"</f>
        <v>R$ 626,24</v>
      </c>
    </row>
    <row r="48" spans="1:11" x14ac:dyDescent="0.25">
      <c r="A48" t="str">
        <f>"00029831 / 1"</f>
        <v>00029831 / 1</v>
      </c>
      <c r="B48" t="str">
        <f>"13° Salário Anual"</f>
        <v>13° Salário Anual</v>
      </c>
      <c r="C48" t="str">
        <f>"Aldima Conceicao Ferreira Oliveira"</f>
        <v>Aldima Conceicao Ferreira Oliveira</v>
      </c>
      <c r="D48" t="str">
        <f>"PROFESSOR"</f>
        <v>PROFESSOR</v>
      </c>
      <c r="E48" t="str">
        <f t="shared" si="2"/>
        <v>Efetivo-Inativo I- RJUSM</v>
      </c>
      <c r="F48" t="str">
        <f>"R$ 4.621,06"</f>
        <v>R$ 4.621,06</v>
      </c>
      <c r="G48" t="str">
        <f>"R$ 5.776,32"</f>
        <v>R$ 5.776,32</v>
      </c>
      <c r="H48" t="str">
        <f t="shared" si="1"/>
        <v>R$ 0,00</v>
      </c>
      <c r="I48" t="str">
        <f>"R$ 5.776,32"</f>
        <v>R$ 5.776,32</v>
      </c>
      <c r="J48" t="str">
        <f>"R$ 3.555,15"</f>
        <v>R$ 3.555,15</v>
      </c>
      <c r="K48" t="str">
        <f>"R$ 2.221,17"</f>
        <v>R$ 2.221,17</v>
      </c>
    </row>
    <row r="49" spans="1:11" x14ac:dyDescent="0.25">
      <c r="A49" t="str">
        <f>"00029831 / 1"</f>
        <v>00029831 / 1</v>
      </c>
      <c r="B49" t="str">
        <f>"Folha Mensal"</f>
        <v>Folha Mensal</v>
      </c>
      <c r="C49" t="str">
        <f>"Aldima Conceicao Ferreira Oliveira"</f>
        <v>Aldima Conceicao Ferreira Oliveira</v>
      </c>
      <c r="D49" t="str">
        <f>"PROFESSOR"</f>
        <v>PROFESSOR</v>
      </c>
      <c r="E49" t="str">
        <f t="shared" si="2"/>
        <v>Efetivo-Inativo I- RJUSM</v>
      </c>
      <c r="F49" t="str">
        <f>"R$ 4.621,06"</f>
        <v>R$ 4.621,06</v>
      </c>
      <c r="G49" t="str">
        <f>"R$ 5.776,32"</f>
        <v>R$ 5.776,32</v>
      </c>
      <c r="H49" t="str">
        <f t="shared" si="1"/>
        <v>R$ 0,00</v>
      </c>
      <c r="I49" t="str">
        <f>"R$ 5.776,32"</f>
        <v>R$ 5.776,32</v>
      </c>
      <c r="J49" t="str">
        <f>"R$ 666,99"</f>
        <v>R$ 666,99</v>
      </c>
      <c r="K49" t="str">
        <f>"R$ 5.109,33"</f>
        <v>R$ 5.109,33</v>
      </c>
    </row>
    <row r="50" spans="1:11" x14ac:dyDescent="0.25">
      <c r="A50" t="str">
        <f>"03640264 / 2"</f>
        <v>03640264 / 2</v>
      </c>
      <c r="B50" t="str">
        <f>"13° Salário Anual"</f>
        <v>13° Salário Anual</v>
      </c>
      <c r="C50" t="str">
        <f>"Aldo Thebis Gomes Monteiro"</f>
        <v>Aldo Thebis Gomes Monteiro</v>
      </c>
      <c r="D50" t="str">
        <f>"AUXILIAR MUNICIPAL"</f>
        <v>AUXILIAR MUNICIPAL</v>
      </c>
      <c r="E50" t="str">
        <f>"Efetivo-Inativos II-RJUSM"</f>
        <v>Efetivo-Inativos II-RJUSM</v>
      </c>
      <c r="F50" t="str">
        <f>"R$ 1.100,00"</f>
        <v>R$ 1.100,00</v>
      </c>
      <c r="G50" t="str">
        <f>"R$ 1.210,00"</f>
        <v>R$ 1.210,00</v>
      </c>
      <c r="H50" t="str">
        <f t="shared" si="1"/>
        <v>R$ 0,00</v>
      </c>
      <c r="I50" t="str">
        <f>"R$ 1.210,00"</f>
        <v>R$ 1.210,00</v>
      </c>
      <c r="J50" t="str">
        <f>"R$ 605,00"</f>
        <v>R$ 605,00</v>
      </c>
      <c r="K50" t="str">
        <f>"R$ 605,00"</f>
        <v>R$ 605,00</v>
      </c>
    </row>
    <row r="51" spans="1:11" x14ac:dyDescent="0.25">
      <c r="A51" t="str">
        <f>"03640264 / 2"</f>
        <v>03640264 / 2</v>
      </c>
      <c r="B51" t="str">
        <f>"Folha Mensal"</f>
        <v>Folha Mensal</v>
      </c>
      <c r="C51" t="str">
        <f>"Aldo Thebis Gomes Monteiro"</f>
        <v>Aldo Thebis Gomes Monteiro</v>
      </c>
      <c r="D51" t="str">
        <f>"AUXILIAR MUNICIPAL"</f>
        <v>AUXILIAR MUNICIPAL</v>
      </c>
      <c r="E51" t="str">
        <f>"Efetivo-Inativos II-RJUSM"</f>
        <v>Efetivo-Inativos II-RJUSM</v>
      </c>
      <c r="F51" t="str">
        <f>"R$ 1.100,00"</f>
        <v>R$ 1.100,00</v>
      </c>
      <c r="G51" t="str">
        <f>"R$ 1.210,00"</f>
        <v>R$ 1.210,00</v>
      </c>
      <c r="H51" t="str">
        <f t="shared" si="1"/>
        <v>R$ 0,00</v>
      </c>
      <c r="I51" t="str">
        <f>"R$ 1.210,00"</f>
        <v>R$ 1.210,00</v>
      </c>
      <c r="J51" t="str">
        <f>"R$ 0,00"</f>
        <v>R$ 0,00</v>
      </c>
      <c r="K51" t="str">
        <f>"R$ 1.210,00"</f>
        <v>R$ 1.210,00</v>
      </c>
    </row>
    <row r="52" spans="1:11" x14ac:dyDescent="0.25">
      <c r="A52" t="str">
        <f>"00006955 / 2"</f>
        <v>00006955 / 2</v>
      </c>
      <c r="B52" t="str">
        <f>"13° Salário Anual"</f>
        <v>13° Salário Anual</v>
      </c>
      <c r="C52" t="str">
        <f>"Aldomira Ferreira de Lima"</f>
        <v>Aldomira Ferreira de Lima</v>
      </c>
      <c r="D52" t="str">
        <f>"INT TEMP CONTRIBUICAO"</f>
        <v>INT TEMP CONTRIBUICAO</v>
      </c>
      <c r="E52" t="str">
        <f>"Efetivo-Inativos II-RJUSM"</f>
        <v>Efetivo-Inativos II-RJUSM</v>
      </c>
      <c r="F52" t="str">
        <f>"R$ 1.100,00"</f>
        <v>R$ 1.100,00</v>
      </c>
      <c r="G52" t="str">
        <f>"R$ 1.430,00"</f>
        <v>R$ 1.430,00</v>
      </c>
      <c r="H52" t="str">
        <f t="shared" si="1"/>
        <v>R$ 0,00</v>
      </c>
      <c r="I52" t="str">
        <f>"R$ 1.430,00"</f>
        <v>R$ 1.430,00</v>
      </c>
      <c r="J52" t="str">
        <f>"R$ 715,00"</f>
        <v>R$ 715,00</v>
      </c>
      <c r="K52" t="str">
        <f>"R$ 715,00"</f>
        <v>R$ 715,00</v>
      </c>
    </row>
    <row r="53" spans="1:11" x14ac:dyDescent="0.25">
      <c r="A53" t="str">
        <f>"00006955 / 2"</f>
        <v>00006955 / 2</v>
      </c>
      <c r="B53" t="str">
        <f>"Folha Mensal"</f>
        <v>Folha Mensal</v>
      </c>
      <c r="C53" t="str">
        <f>"Aldomira Ferreira de Lima"</f>
        <v>Aldomira Ferreira de Lima</v>
      </c>
      <c r="D53" t="str">
        <f>"INT TEMP CONTRIBUICAO"</f>
        <v>INT TEMP CONTRIBUICAO</v>
      </c>
      <c r="E53" t="str">
        <f>"Efetivo-Inativos II-RJUSM"</f>
        <v>Efetivo-Inativos II-RJUSM</v>
      </c>
      <c r="F53" t="str">
        <f>"R$ 1.100,00"</f>
        <v>R$ 1.100,00</v>
      </c>
      <c r="G53" t="str">
        <f>"R$ 1.430,00"</f>
        <v>R$ 1.430,00</v>
      </c>
      <c r="H53" t="str">
        <f t="shared" si="1"/>
        <v>R$ 0,00</v>
      </c>
      <c r="I53" t="str">
        <f>"R$ 1.430,00"</f>
        <v>R$ 1.430,00</v>
      </c>
      <c r="J53" t="str">
        <f>"R$ 498,16"</f>
        <v>R$ 498,16</v>
      </c>
      <c r="K53" t="str">
        <f>"R$ 931,84"</f>
        <v>R$ 931,84</v>
      </c>
    </row>
    <row r="54" spans="1:11" x14ac:dyDescent="0.25">
      <c r="A54" t="str">
        <f>"03642020 / 1"</f>
        <v>03642020 / 1</v>
      </c>
      <c r="B54" t="str">
        <f>"13° Salário Anual"</f>
        <v>13° Salário Anual</v>
      </c>
      <c r="C54" t="str">
        <f>"Alessandro Monteiro Melul da Silva"</f>
        <v>Alessandro Monteiro Melul da Silva</v>
      </c>
      <c r="D54" t="str">
        <f>"DAS 08"</f>
        <v>DAS 08</v>
      </c>
      <c r="E54" t="str">
        <f>"Comissionado"</f>
        <v>Comissionado</v>
      </c>
      <c r="F54" t="str">
        <f>"R$ 4.200,00"</f>
        <v>R$ 4.200,00</v>
      </c>
      <c r="G54" t="str">
        <f>"R$ 700,00"</f>
        <v>R$ 700,00</v>
      </c>
      <c r="H54" t="str">
        <f t="shared" si="1"/>
        <v>R$ 0,00</v>
      </c>
      <c r="I54" t="str">
        <f>"R$ 700,00"</f>
        <v>R$ 700,00</v>
      </c>
      <c r="J54" t="str">
        <f>"R$ 52,50"</f>
        <v>R$ 52,50</v>
      </c>
      <c r="K54" t="str">
        <f>"R$ 647,50"</f>
        <v>R$ 647,50</v>
      </c>
    </row>
    <row r="55" spans="1:11" x14ac:dyDescent="0.25">
      <c r="A55" t="str">
        <f>"03642020 / 1"</f>
        <v>03642020 / 1</v>
      </c>
      <c r="B55" t="str">
        <f>"Folha Mensal"</f>
        <v>Folha Mensal</v>
      </c>
      <c r="C55" t="str">
        <f>"Alessandro Monteiro Melul da Silva"</f>
        <v>Alessandro Monteiro Melul da Silva</v>
      </c>
      <c r="D55" t="str">
        <f>"DAS 08"</f>
        <v>DAS 08</v>
      </c>
      <c r="E55" t="str">
        <f>"Comissionado"</f>
        <v>Comissionado</v>
      </c>
      <c r="F55" t="str">
        <f>"R$ 4.200,00"</f>
        <v>R$ 4.200,00</v>
      </c>
      <c r="G55" t="str">
        <f>"R$ 8.400,00"</f>
        <v>R$ 8.400,00</v>
      </c>
      <c r="H55" t="str">
        <f t="shared" si="1"/>
        <v>R$ 0,00</v>
      </c>
      <c r="I55" t="str">
        <f>"R$ 8.400,00"</f>
        <v>R$ 8.400,00</v>
      </c>
      <c r="J55" t="str">
        <f>"R$ 1.985,81"</f>
        <v>R$ 1.985,81</v>
      </c>
      <c r="K55" t="str">
        <f>"R$ 6.414,19"</f>
        <v>R$ 6.414,19</v>
      </c>
    </row>
    <row r="56" spans="1:11" x14ac:dyDescent="0.25">
      <c r="A56" t="str">
        <f>"03641511 / 1"</f>
        <v>03641511 / 1</v>
      </c>
      <c r="B56" t="str">
        <f>"13° Salário Anual"</f>
        <v>13° Salário Anual</v>
      </c>
      <c r="C56" t="str">
        <f>"Alessandro Santos de Almeida"</f>
        <v>Alessandro Santos de Almeida</v>
      </c>
      <c r="D56" t="str">
        <f>"PENS TEMP ATE 04/08/26"</f>
        <v>PENS TEMP ATE 04/08/26</v>
      </c>
      <c r="E56" t="str">
        <f>"Pensionista"</f>
        <v>Pensionista</v>
      </c>
      <c r="F56" t="str">
        <f>"R$ 516,67"</f>
        <v>R$ 516,67</v>
      </c>
      <c r="G56" t="str">
        <f>"R$ 516,67"</f>
        <v>R$ 516,67</v>
      </c>
      <c r="H56" t="str">
        <f t="shared" si="1"/>
        <v>R$ 0,00</v>
      </c>
      <c r="I56" t="str">
        <f>"R$ 516,67"</f>
        <v>R$ 516,67</v>
      </c>
      <c r="J56" t="str">
        <f>"R$ 258,33"</f>
        <v>R$ 258,33</v>
      </c>
      <c r="K56" t="str">
        <f>"R$ 258,34"</f>
        <v>R$ 258,34</v>
      </c>
    </row>
    <row r="57" spans="1:11" x14ac:dyDescent="0.25">
      <c r="A57" t="str">
        <f>"03641511 / 1"</f>
        <v>03641511 / 1</v>
      </c>
      <c r="B57" t="str">
        <f>"Folha Mensal"</f>
        <v>Folha Mensal</v>
      </c>
      <c r="C57" t="str">
        <f>"Alessandro Santos de Almeida"</f>
        <v>Alessandro Santos de Almeida</v>
      </c>
      <c r="D57" t="str">
        <f>"PENS TEMP ATE 04/08/26"</f>
        <v>PENS TEMP ATE 04/08/26</v>
      </c>
      <c r="E57" t="str">
        <f>"Pensionista"</f>
        <v>Pensionista</v>
      </c>
      <c r="F57" t="str">
        <f>"R$ 516,67"</f>
        <v>R$ 516,67</v>
      </c>
      <c r="G57" t="str">
        <f>"R$ 516,67"</f>
        <v>R$ 516,67</v>
      </c>
      <c r="H57" t="str">
        <f t="shared" si="1"/>
        <v>R$ 0,00</v>
      </c>
      <c r="I57" t="str">
        <f>"R$ 516,67"</f>
        <v>R$ 516,67</v>
      </c>
      <c r="J57" t="str">
        <f>"R$ 0,00"</f>
        <v>R$ 0,00</v>
      </c>
      <c r="K57" t="str">
        <f>"R$ 516,67"</f>
        <v>R$ 516,67</v>
      </c>
    </row>
    <row r="58" spans="1:11" x14ac:dyDescent="0.25">
      <c r="A58" t="str">
        <f>"03642496 / 1"</f>
        <v>03642496 / 1</v>
      </c>
      <c r="B58" t="str">
        <f>"13° Salário Anual"</f>
        <v>13° Salário Anual</v>
      </c>
      <c r="C58" t="str">
        <f>"Alex Nazare Assuncao Tavares"</f>
        <v>Alex Nazare Assuncao Tavares</v>
      </c>
      <c r="D58" t="str">
        <f>"PENSIONISTA DE PROFESSOR"</f>
        <v>PENSIONISTA DE PROFESSOR</v>
      </c>
      <c r="E58" t="str">
        <f>"Pensionista"</f>
        <v>Pensionista</v>
      </c>
      <c r="F58" t="str">
        <f>"R$ 1.593,46"</f>
        <v>R$ 1.593,46</v>
      </c>
      <c r="G58" t="str">
        <f>"R$ 1.912,15"</f>
        <v>R$ 1.912,15</v>
      </c>
      <c r="H58" t="str">
        <f t="shared" si="1"/>
        <v>R$ 0,00</v>
      </c>
      <c r="I58" t="str">
        <f>"R$ 1.912,15"</f>
        <v>R$ 1.912,15</v>
      </c>
      <c r="J58" t="str">
        <f>"R$ 956,07"</f>
        <v>R$ 956,07</v>
      </c>
      <c r="K58" t="str">
        <f>"R$ 956,08"</f>
        <v>R$ 956,08</v>
      </c>
    </row>
    <row r="59" spans="1:11" x14ac:dyDescent="0.25">
      <c r="A59" t="str">
        <f>"03642496 / 1"</f>
        <v>03642496 / 1</v>
      </c>
      <c r="B59" t="str">
        <f>"Folha Mensal"</f>
        <v>Folha Mensal</v>
      </c>
      <c r="C59" t="str">
        <f>"Alex Nazare Assuncao Tavares"</f>
        <v>Alex Nazare Assuncao Tavares</v>
      </c>
      <c r="D59" t="str">
        <f>"PENSIONISTA DE PROFESSOR"</f>
        <v>PENSIONISTA DE PROFESSOR</v>
      </c>
      <c r="E59" t="str">
        <f>"Pensionista"</f>
        <v>Pensionista</v>
      </c>
      <c r="F59" t="str">
        <f>"R$ 1.593,46"</f>
        <v>R$ 1.593,46</v>
      </c>
      <c r="G59" t="str">
        <f>"R$ 1.912,15"</f>
        <v>R$ 1.912,15</v>
      </c>
      <c r="H59" t="str">
        <f t="shared" si="1"/>
        <v>R$ 0,00</v>
      </c>
      <c r="I59" t="str">
        <f>"R$ 1.912,15"</f>
        <v>R$ 1.912,15</v>
      </c>
      <c r="J59" t="str">
        <f>"R$ 0,00"</f>
        <v>R$ 0,00</v>
      </c>
      <c r="K59" t="str">
        <f>"R$ 1.912,15"</f>
        <v>R$ 1.912,15</v>
      </c>
    </row>
    <row r="60" spans="1:11" x14ac:dyDescent="0.25">
      <c r="A60" t="str">
        <f>"03641708 / 1"</f>
        <v>03641708 / 1</v>
      </c>
      <c r="B60" t="str">
        <f>"13° Salário Anual"</f>
        <v>13° Salário Anual</v>
      </c>
      <c r="C60" t="str">
        <f>"Alexandre Juliao da Silva"</f>
        <v>Alexandre Juliao da Silva</v>
      </c>
      <c r="D60" t="str">
        <f>"DAS 08"</f>
        <v>DAS 08</v>
      </c>
      <c r="E60" t="str">
        <f>"Comissionado"</f>
        <v>Comissionado</v>
      </c>
      <c r="F60" t="str">
        <f>"R$ 4.200,00"</f>
        <v>R$ 4.200,00</v>
      </c>
      <c r="G60" t="str">
        <f>"R$ 1.400,00"</f>
        <v>R$ 1.400,00</v>
      </c>
      <c r="H60" t="str">
        <f t="shared" si="1"/>
        <v>R$ 0,00</v>
      </c>
      <c r="I60" t="str">
        <f>"R$ 1.400,00"</f>
        <v>R$ 1.400,00</v>
      </c>
      <c r="J60" t="str">
        <f>"R$ 809,50"</f>
        <v>R$ 809,50</v>
      </c>
      <c r="K60" t="str">
        <f>"R$ 590,50"</f>
        <v>R$ 590,50</v>
      </c>
    </row>
    <row r="61" spans="1:11" x14ac:dyDescent="0.25">
      <c r="A61" t="str">
        <f>"03641708 / 1"</f>
        <v>03641708 / 1</v>
      </c>
      <c r="B61" t="str">
        <f>"Folha Mensal"</f>
        <v>Folha Mensal</v>
      </c>
      <c r="C61" t="str">
        <f>"Alexandre Juliao da Silva"</f>
        <v>Alexandre Juliao da Silva</v>
      </c>
      <c r="D61" t="str">
        <f>"DAS 08"</f>
        <v>DAS 08</v>
      </c>
      <c r="E61" t="str">
        <f>"Comissionado"</f>
        <v>Comissionado</v>
      </c>
      <c r="F61" t="str">
        <f>"R$ 4.200,00"</f>
        <v>R$ 4.200,00</v>
      </c>
      <c r="G61" t="str">
        <f>"R$ 4.200,00"</f>
        <v>R$ 4.200,00</v>
      </c>
      <c r="H61" t="str">
        <f t="shared" si="1"/>
        <v>R$ 0,00</v>
      </c>
      <c r="I61" t="str">
        <f>"R$ 4.200,00"</f>
        <v>R$ 4.200,00</v>
      </c>
      <c r="J61" t="str">
        <f>"R$ 649,30"</f>
        <v>R$ 649,30</v>
      </c>
      <c r="K61" t="str">
        <f>"R$ 3.550,70"</f>
        <v>R$ 3.550,70</v>
      </c>
    </row>
    <row r="62" spans="1:11" x14ac:dyDescent="0.25">
      <c r="A62" t="str">
        <f>"03641503 / 1"</f>
        <v>03641503 / 1</v>
      </c>
      <c r="B62" t="str">
        <f>"13° Salário Anual"</f>
        <v>13° Salário Anual</v>
      </c>
      <c r="C62" t="str">
        <f>"Alexandre Santos de Almeida Filho"</f>
        <v>Alexandre Santos de Almeida Filho</v>
      </c>
      <c r="D62" t="str">
        <f>"PENS TEMP ATE 03/01/25"</f>
        <v>PENS TEMP ATE 03/01/25</v>
      </c>
      <c r="E62" t="str">
        <f>"Pensionista"</f>
        <v>Pensionista</v>
      </c>
      <c r="F62" t="str">
        <f>"R$ 516,67"</f>
        <v>R$ 516,67</v>
      </c>
      <c r="G62" t="str">
        <f>"R$ 516,67"</f>
        <v>R$ 516,67</v>
      </c>
      <c r="H62" t="str">
        <f t="shared" si="1"/>
        <v>R$ 0,00</v>
      </c>
      <c r="I62" t="str">
        <f>"R$ 516,67"</f>
        <v>R$ 516,67</v>
      </c>
      <c r="J62" t="str">
        <f>"R$ 258,33"</f>
        <v>R$ 258,33</v>
      </c>
      <c r="K62" t="str">
        <f>"R$ 258,34"</f>
        <v>R$ 258,34</v>
      </c>
    </row>
    <row r="63" spans="1:11" x14ac:dyDescent="0.25">
      <c r="A63" t="str">
        <f>"03641503 / 1"</f>
        <v>03641503 / 1</v>
      </c>
      <c r="B63" t="str">
        <f>"Folha Mensal"</f>
        <v>Folha Mensal</v>
      </c>
      <c r="C63" t="str">
        <f>"Alexandre Santos de Almeida Filho"</f>
        <v>Alexandre Santos de Almeida Filho</v>
      </c>
      <c r="D63" t="str">
        <f>"PENS TEMP ATE 03/01/25"</f>
        <v>PENS TEMP ATE 03/01/25</v>
      </c>
      <c r="E63" t="str">
        <f>"Pensionista"</f>
        <v>Pensionista</v>
      </c>
      <c r="F63" t="str">
        <f>"R$ 516,67"</f>
        <v>R$ 516,67</v>
      </c>
      <c r="G63" t="str">
        <f>"R$ 516,67"</f>
        <v>R$ 516,67</v>
      </c>
      <c r="H63" t="str">
        <f t="shared" si="1"/>
        <v>R$ 0,00</v>
      </c>
      <c r="I63" t="str">
        <f>"R$ 516,67"</f>
        <v>R$ 516,67</v>
      </c>
      <c r="J63" t="str">
        <f>"R$ 0,00"</f>
        <v>R$ 0,00</v>
      </c>
      <c r="K63" t="str">
        <f>"R$ 516,67"</f>
        <v>R$ 516,67</v>
      </c>
    </row>
    <row r="64" spans="1:11" x14ac:dyDescent="0.25">
      <c r="A64" t="str">
        <f>"03640787 / 1"</f>
        <v>03640787 / 1</v>
      </c>
      <c r="B64" t="str">
        <f>"13° Salário Anual"</f>
        <v>13° Salário Anual</v>
      </c>
      <c r="C64" t="str">
        <f>"Alfredo Matos de Souza Silva"</f>
        <v>Alfredo Matos de Souza Silva</v>
      </c>
      <c r="D64" t="str">
        <f>"DAS 06"</f>
        <v>DAS 06</v>
      </c>
      <c r="E64" t="str">
        <f>"Comissionado"</f>
        <v>Comissionado</v>
      </c>
      <c r="F64" t="str">
        <f>"R$ 2.427,00"</f>
        <v>R$ 2.427,00</v>
      </c>
      <c r="G64" t="str">
        <f>"R$ 2.224,75"</f>
        <v>R$ 2.224,75</v>
      </c>
      <c r="H64" t="str">
        <f t="shared" ref="H64:H95" si="3">"R$ 0,00"</f>
        <v>R$ 0,00</v>
      </c>
      <c r="I64" t="str">
        <f>"R$ 2.224,75"</f>
        <v>R$ 2.224,75</v>
      </c>
      <c r="J64" t="str">
        <f>"R$ 1.306,95"</f>
        <v>R$ 1.306,95</v>
      </c>
      <c r="K64" t="str">
        <f>"R$ 917,80"</f>
        <v>R$ 917,80</v>
      </c>
    </row>
    <row r="65" spans="1:11" x14ac:dyDescent="0.25">
      <c r="A65" t="str">
        <f>"03640787 / 1"</f>
        <v>03640787 / 1</v>
      </c>
      <c r="B65" t="str">
        <f>"Folha Mensal"</f>
        <v>Folha Mensal</v>
      </c>
      <c r="C65" t="str">
        <f>"Alfredo Matos de Souza Silva"</f>
        <v>Alfredo Matos de Souza Silva</v>
      </c>
      <c r="D65" t="str">
        <f>"DAS 06"</f>
        <v>DAS 06</v>
      </c>
      <c r="E65" t="str">
        <f>"Comissionado"</f>
        <v>Comissionado</v>
      </c>
      <c r="F65" t="str">
        <f>"R$ 2.427,00"</f>
        <v>R$ 2.427,00</v>
      </c>
      <c r="G65" t="str">
        <f>"R$ 2.427,00"</f>
        <v>R$ 2.427,00</v>
      </c>
      <c r="H65" t="str">
        <f t="shared" si="3"/>
        <v>R$ 0,00</v>
      </c>
      <c r="I65" t="str">
        <f>"R$ 2.427,00"</f>
        <v>R$ 2.427,00</v>
      </c>
      <c r="J65" t="str">
        <f>"R$ 232,20"</f>
        <v>R$ 232,20</v>
      </c>
      <c r="K65" t="str">
        <f>"R$ 2.194,80"</f>
        <v>R$ 2.194,80</v>
      </c>
    </row>
    <row r="66" spans="1:11" x14ac:dyDescent="0.25">
      <c r="A66" t="str">
        <f>"00025992 / 1"</f>
        <v>00025992 / 1</v>
      </c>
      <c r="B66" t="str">
        <f>"13° Salário Anual"</f>
        <v>13° Salário Anual</v>
      </c>
      <c r="C66" t="str">
        <f>"Alice Cordovil Monteiro"</f>
        <v>Alice Cordovil Monteiro</v>
      </c>
      <c r="D66" t="str">
        <f>"PROP IDADE"</f>
        <v>PROP IDADE</v>
      </c>
      <c r="E66" t="str">
        <f>"Efetivo-Inativo I- RJUSM"</f>
        <v>Efetivo-Inativo I- RJUSM</v>
      </c>
      <c r="F66" t="str">
        <f>"R$ 1.100,00"</f>
        <v>R$ 1.100,00</v>
      </c>
      <c r="G66" t="str">
        <f>"R$ 1.100,00"</f>
        <v>R$ 1.100,00</v>
      </c>
      <c r="H66" t="str">
        <f t="shared" si="3"/>
        <v>R$ 0,00</v>
      </c>
      <c r="I66" t="str">
        <f>"R$ 1.100,00"</f>
        <v>R$ 1.100,00</v>
      </c>
      <c r="J66" t="str">
        <f>"R$ 550,00"</f>
        <v>R$ 550,00</v>
      </c>
      <c r="K66" t="str">
        <f>"R$ 550,00"</f>
        <v>R$ 550,00</v>
      </c>
    </row>
    <row r="67" spans="1:11" x14ac:dyDescent="0.25">
      <c r="A67" t="str">
        <f>"00025992 / 1"</f>
        <v>00025992 / 1</v>
      </c>
      <c r="B67" t="str">
        <f>"Folha Mensal"</f>
        <v>Folha Mensal</v>
      </c>
      <c r="C67" t="str">
        <f>"Alice Cordovil Monteiro"</f>
        <v>Alice Cordovil Monteiro</v>
      </c>
      <c r="D67" t="str">
        <f>"PROP IDADE"</f>
        <v>PROP IDADE</v>
      </c>
      <c r="E67" t="str">
        <f>"Efetivo-Inativo I- RJUSM"</f>
        <v>Efetivo-Inativo I- RJUSM</v>
      </c>
      <c r="F67" t="str">
        <f>"R$ 1.100,00"</f>
        <v>R$ 1.100,00</v>
      </c>
      <c r="G67" t="str">
        <f>"R$ 1.100,00"</f>
        <v>R$ 1.100,00</v>
      </c>
      <c r="H67" t="str">
        <f t="shared" si="3"/>
        <v>R$ 0,00</v>
      </c>
      <c r="I67" t="str">
        <f>"R$ 1.100,00"</f>
        <v>R$ 1.100,00</v>
      </c>
      <c r="J67" t="str">
        <f>"R$ 0,00"</f>
        <v>R$ 0,00</v>
      </c>
      <c r="K67" t="str">
        <f>"R$ 1.100,00"</f>
        <v>R$ 1.100,00</v>
      </c>
    </row>
    <row r="68" spans="1:11" x14ac:dyDescent="0.25">
      <c r="A68" t="str">
        <f>"00005185 / 1"</f>
        <v>00005185 / 1</v>
      </c>
      <c r="B68" t="str">
        <f>"13° Salário Anual"</f>
        <v>13° Salário Anual</v>
      </c>
      <c r="C68" t="str">
        <f>"Almerinda Gomes Monteiro"</f>
        <v>Almerinda Gomes Monteiro</v>
      </c>
      <c r="D68" t="str">
        <f>"PROFESSOR"</f>
        <v>PROFESSOR</v>
      </c>
      <c r="E68" t="str">
        <f>"Efetivo-Inativo I- RJUSM"</f>
        <v>Efetivo-Inativo I- RJUSM</v>
      </c>
      <c r="F68" t="str">
        <f>"R$ 4.621,06"</f>
        <v>R$ 4.621,06</v>
      </c>
      <c r="G68" t="str">
        <f>"R$ 6.007,37"</f>
        <v>R$ 6.007,37</v>
      </c>
      <c r="H68" t="str">
        <f t="shared" si="3"/>
        <v>R$ 0,00</v>
      </c>
      <c r="I68" t="str">
        <f>"R$ 6.007,37"</f>
        <v>R$ 6.007,37</v>
      </c>
      <c r="J68" t="str">
        <f>"R$ 3.248,15"</f>
        <v>R$ 3.248,15</v>
      </c>
      <c r="K68" t="str">
        <f>"R$ 2.759,22"</f>
        <v>R$ 2.759,22</v>
      </c>
    </row>
    <row r="69" spans="1:11" x14ac:dyDescent="0.25">
      <c r="A69" t="str">
        <f>"00005185 / 1"</f>
        <v>00005185 / 1</v>
      </c>
      <c r="B69" t="str">
        <f>"Folha Mensal"</f>
        <v>Folha Mensal</v>
      </c>
      <c r="C69" t="str">
        <f>"Almerinda Gomes Monteiro"</f>
        <v>Almerinda Gomes Monteiro</v>
      </c>
      <c r="D69" t="str">
        <f>"PROFESSOR"</f>
        <v>PROFESSOR</v>
      </c>
      <c r="E69" t="str">
        <f>"Efetivo-Inativo I- RJUSM"</f>
        <v>Efetivo-Inativo I- RJUSM</v>
      </c>
      <c r="F69" t="str">
        <f>"R$ 4.621,06"</f>
        <v>R$ 4.621,06</v>
      </c>
      <c r="G69" t="str">
        <f>"R$ 6.007,37"</f>
        <v>R$ 6.007,37</v>
      </c>
      <c r="H69" t="str">
        <f t="shared" si="3"/>
        <v>R$ 0,00</v>
      </c>
      <c r="I69" t="str">
        <f>"R$ 6.007,37"</f>
        <v>R$ 6.007,37</v>
      </c>
      <c r="J69" t="str">
        <f>"R$ 1.974,48"</f>
        <v>R$ 1.974,48</v>
      </c>
      <c r="K69" t="str">
        <f>"R$ 4.032,89"</f>
        <v>R$ 4.032,89</v>
      </c>
    </row>
    <row r="70" spans="1:11" x14ac:dyDescent="0.25">
      <c r="A70" t="str">
        <f>"00007617 / 1"</f>
        <v>00007617 / 1</v>
      </c>
      <c r="B70" t="str">
        <f>"13° Salário Anual"</f>
        <v>13° Salário Anual</v>
      </c>
      <c r="C70" t="str">
        <f>"Alzira Ferreira Viana"</f>
        <v>Alzira Ferreira Viana</v>
      </c>
      <c r="D70" t="str">
        <f>"INT TEMP CONTRIBUICAO"</f>
        <v>INT TEMP CONTRIBUICAO</v>
      </c>
      <c r="E70" t="str">
        <f>"Efetivo-Inativos II-RJUSM"</f>
        <v>Efetivo-Inativos II-RJUSM</v>
      </c>
      <c r="F70" t="str">
        <f>"R$ 1.100,00"</f>
        <v>R$ 1.100,00</v>
      </c>
      <c r="G70" t="str">
        <f>"R$ 1.485,00"</f>
        <v>R$ 1.485,00</v>
      </c>
      <c r="H70" t="str">
        <f t="shared" si="3"/>
        <v>R$ 0,00</v>
      </c>
      <c r="I70" t="str">
        <f>"R$ 1.485,00"</f>
        <v>R$ 1.485,00</v>
      </c>
      <c r="J70" t="str">
        <f>"R$ 742,50"</f>
        <v>R$ 742,50</v>
      </c>
      <c r="K70" t="str">
        <f>"R$ 742,50"</f>
        <v>R$ 742,50</v>
      </c>
    </row>
    <row r="71" spans="1:11" x14ac:dyDescent="0.25">
      <c r="A71" t="str">
        <f>"00007617 / 1"</f>
        <v>00007617 / 1</v>
      </c>
      <c r="B71" t="str">
        <f>"Folha Mensal"</f>
        <v>Folha Mensal</v>
      </c>
      <c r="C71" t="str">
        <f>"Alzira Ferreira Viana"</f>
        <v>Alzira Ferreira Viana</v>
      </c>
      <c r="D71" t="str">
        <f>"INT TEMP CONTRIBUICAO"</f>
        <v>INT TEMP CONTRIBUICAO</v>
      </c>
      <c r="E71" t="str">
        <f>"Efetivo-Inativos II-RJUSM"</f>
        <v>Efetivo-Inativos II-RJUSM</v>
      </c>
      <c r="F71" t="str">
        <f>"R$ 1.100,00"</f>
        <v>R$ 1.100,00</v>
      </c>
      <c r="G71" t="str">
        <f>"R$ 1.485,00"</f>
        <v>R$ 1.485,00</v>
      </c>
      <c r="H71" t="str">
        <f t="shared" si="3"/>
        <v>R$ 0,00</v>
      </c>
      <c r="I71" t="str">
        <f>"R$ 1.485,00"</f>
        <v>R$ 1.485,00</v>
      </c>
      <c r="J71" t="str">
        <f>"R$ 0,00"</f>
        <v>R$ 0,00</v>
      </c>
      <c r="K71" t="str">
        <f>"R$ 1.485,00"</f>
        <v>R$ 1.485,00</v>
      </c>
    </row>
    <row r="72" spans="1:11" x14ac:dyDescent="0.25">
      <c r="A72" t="str">
        <f>"03640400 / 1"</f>
        <v>03640400 / 1</v>
      </c>
      <c r="B72" t="str">
        <f>"13° Salário Anual"</f>
        <v>13° Salário Anual</v>
      </c>
      <c r="C72" t="str">
        <f>"Amelia de Sousa Silva"</f>
        <v>Amelia de Sousa Silva</v>
      </c>
      <c r="D72" t="str">
        <f>"DAS 05"</f>
        <v>DAS 05</v>
      </c>
      <c r="E72" t="str">
        <f>"Comissionado"</f>
        <v>Comissionado</v>
      </c>
      <c r="F72" t="str">
        <f>"R$ 2.025,00"</f>
        <v>R$ 2.025,00</v>
      </c>
      <c r="G72" t="str">
        <f>"R$ 2.025,00"</f>
        <v>R$ 2.025,00</v>
      </c>
      <c r="H72" t="str">
        <f t="shared" si="3"/>
        <v>R$ 0,00</v>
      </c>
      <c r="I72" t="str">
        <f>"R$ 2.025,00"</f>
        <v>R$ 2.025,00</v>
      </c>
      <c r="J72" t="str">
        <f>"R$ 1.178,25"</f>
        <v>R$ 1.178,25</v>
      </c>
      <c r="K72" t="str">
        <f>"R$ 846,75"</f>
        <v>R$ 846,75</v>
      </c>
    </row>
    <row r="73" spans="1:11" x14ac:dyDescent="0.25">
      <c r="A73" t="str">
        <f>"03640400 / 1"</f>
        <v>03640400 / 1</v>
      </c>
      <c r="B73" t="str">
        <f>"Folha Mensal"</f>
        <v>Folha Mensal</v>
      </c>
      <c r="C73" t="str">
        <f>"Amelia de Sousa Silva"</f>
        <v>Amelia de Sousa Silva</v>
      </c>
      <c r="D73" t="str">
        <f>"DAS 05"</f>
        <v>DAS 05</v>
      </c>
      <c r="E73" t="str">
        <f>"Comissionado"</f>
        <v>Comissionado</v>
      </c>
      <c r="F73" t="str">
        <f>"R$ 2.025,00"</f>
        <v>R$ 2.025,00</v>
      </c>
      <c r="G73" t="str">
        <f>"R$ 2.700,00"</f>
        <v>R$ 2.700,00</v>
      </c>
      <c r="H73" t="str">
        <f t="shared" si="3"/>
        <v>R$ 0,00</v>
      </c>
      <c r="I73" t="str">
        <f>"R$ 2.700,00"</f>
        <v>R$ 2.700,00</v>
      </c>
      <c r="J73" t="str">
        <f>"R$ 241,39"</f>
        <v>R$ 241,39</v>
      </c>
      <c r="K73" t="str">
        <f>"R$ 2.458,61"</f>
        <v>R$ 2.458,61</v>
      </c>
    </row>
    <row r="74" spans="1:11" x14ac:dyDescent="0.25">
      <c r="A74" t="str">
        <f>"00001953 / 1"</f>
        <v>00001953 / 1</v>
      </c>
      <c r="B74" t="str">
        <f>"13° Salário Anual"</f>
        <v>13° Salário Anual</v>
      </c>
      <c r="C74" t="str">
        <f>"America de Sousa Cabral"</f>
        <v>America de Sousa Cabral</v>
      </c>
      <c r="D74" t="str">
        <f>"PROFESSOR"</f>
        <v>PROFESSOR</v>
      </c>
      <c r="E74" t="str">
        <f t="shared" ref="E74:E82" si="4">"Efetivo-Inativo I- RJUSM"</f>
        <v>Efetivo-Inativo I- RJUSM</v>
      </c>
      <c r="F74" t="str">
        <f>"R$ 1.593,46"</f>
        <v>R$ 1.593,46</v>
      </c>
      <c r="G74" t="str">
        <f>"R$ 1.991,82"</f>
        <v>R$ 1.991,82</v>
      </c>
      <c r="H74" t="str">
        <f t="shared" si="3"/>
        <v>R$ 0,00</v>
      </c>
      <c r="I74" t="str">
        <f>"R$ 1.991,82"</f>
        <v>R$ 1.991,82</v>
      </c>
      <c r="J74" t="str">
        <f>"R$ 995,91"</f>
        <v>R$ 995,91</v>
      </c>
      <c r="K74" t="str">
        <f>"R$ 995,91"</f>
        <v>R$ 995,91</v>
      </c>
    </row>
    <row r="75" spans="1:11" x14ac:dyDescent="0.25">
      <c r="A75" t="str">
        <f>"00001953 / 1"</f>
        <v>00001953 / 1</v>
      </c>
      <c r="B75" t="str">
        <f>"Folha Mensal"</f>
        <v>Folha Mensal</v>
      </c>
      <c r="C75" t="str">
        <f>"America de Sousa Cabral"</f>
        <v>America de Sousa Cabral</v>
      </c>
      <c r="D75" t="str">
        <f>"PROFESSOR"</f>
        <v>PROFESSOR</v>
      </c>
      <c r="E75" t="str">
        <f t="shared" si="4"/>
        <v>Efetivo-Inativo I- RJUSM</v>
      </c>
      <c r="F75" t="str">
        <f>"R$ 1.593,46"</f>
        <v>R$ 1.593,46</v>
      </c>
      <c r="G75" t="str">
        <f>"R$ 1.991,82"</f>
        <v>R$ 1.991,82</v>
      </c>
      <c r="H75" t="str">
        <f t="shared" si="3"/>
        <v>R$ 0,00</v>
      </c>
      <c r="I75" t="str">
        <f>"R$ 1.991,82"</f>
        <v>R$ 1.991,82</v>
      </c>
      <c r="J75" t="str">
        <f>"R$ 478,44"</f>
        <v>R$ 478,44</v>
      </c>
      <c r="K75" t="str">
        <f>"R$ 1.513,38"</f>
        <v>R$ 1.513,38</v>
      </c>
    </row>
    <row r="76" spans="1:11" x14ac:dyDescent="0.25">
      <c r="A76" t="str">
        <f>"00013722 / 1"</f>
        <v>00013722 / 1</v>
      </c>
      <c r="B76" t="str">
        <f>"13° Salário Anual"</f>
        <v>13° Salário Anual</v>
      </c>
      <c r="C76" t="str">
        <f>"Ana Araujo Costa Conceicao"</f>
        <v>Ana Araujo Costa Conceicao</v>
      </c>
      <c r="D76" t="str">
        <f>"PROP IDADE"</f>
        <v>PROP IDADE</v>
      </c>
      <c r="E76" t="str">
        <f t="shared" si="4"/>
        <v>Efetivo-Inativo I- RJUSM</v>
      </c>
      <c r="F76" t="str">
        <f>"R$ 1.704,30"</f>
        <v>R$ 1.704,30</v>
      </c>
      <c r="G76" t="str">
        <f>"R$ 1.704,30"</f>
        <v>R$ 1.704,30</v>
      </c>
      <c r="H76" t="str">
        <f t="shared" si="3"/>
        <v>R$ 0,00</v>
      </c>
      <c r="I76" t="str">
        <f>"R$ 1.704,30"</f>
        <v>R$ 1.704,30</v>
      </c>
      <c r="J76" t="str">
        <f>"R$ 852,15"</f>
        <v>R$ 852,15</v>
      </c>
      <c r="K76" t="str">
        <f>"R$ 852,15"</f>
        <v>R$ 852,15</v>
      </c>
    </row>
    <row r="77" spans="1:11" x14ac:dyDescent="0.25">
      <c r="A77" t="str">
        <f>"00013722 / 1"</f>
        <v>00013722 / 1</v>
      </c>
      <c r="B77" t="str">
        <f>"Folha Mensal"</f>
        <v>Folha Mensal</v>
      </c>
      <c r="C77" t="str">
        <f>"Ana Araujo Costa Conceicao"</f>
        <v>Ana Araujo Costa Conceicao</v>
      </c>
      <c r="D77" t="str">
        <f>"PROP IDADE"</f>
        <v>PROP IDADE</v>
      </c>
      <c r="E77" t="str">
        <f t="shared" si="4"/>
        <v>Efetivo-Inativo I- RJUSM</v>
      </c>
      <c r="F77" t="str">
        <f>"R$ 1.704,30"</f>
        <v>R$ 1.704,30</v>
      </c>
      <c r="G77" t="str">
        <f>"R$ 1.704,30"</f>
        <v>R$ 1.704,30</v>
      </c>
      <c r="H77" t="str">
        <f t="shared" si="3"/>
        <v>R$ 0,00</v>
      </c>
      <c r="I77" t="str">
        <f>"R$ 1.704,30"</f>
        <v>R$ 1.704,30</v>
      </c>
      <c r="J77" t="str">
        <f>"R$ 485,70"</f>
        <v>R$ 485,70</v>
      </c>
      <c r="K77" t="str">
        <f>"R$ 1.218,60"</f>
        <v>R$ 1.218,60</v>
      </c>
    </row>
    <row r="78" spans="1:11" x14ac:dyDescent="0.25">
      <c r="A78" t="str">
        <f>"00003182 / 1"</f>
        <v>00003182 / 1</v>
      </c>
      <c r="B78" t="str">
        <f>"13° Salário Anual"</f>
        <v>13° Salário Anual</v>
      </c>
      <c r="C78" t="str">
        <f>"Ana Celia da Silva Gomes"</f>
        <v>Ana Celia da Silva Gomes</v>
      </c>
      <c r="D78" t="str">
        <f>"PROP IDADE"</f>
        <v>PROP IDADE</v>
      </c>
      <c r="E78" t="str">
        <f t="shared" si="4"/>
        <v>Efetivo-Inativo I- RJUSM</v>
      </c>
      <c r="F78" t="str">
        <f>"R$ 0,00"</f>
        <v>R$ 0,00</v>
      </c>
      <c r="G78" t="str">
        <f>"R$ 1.100,00"</f>
        <v>R$ 1.100,00</v>
      </c>
      <c r="H78" t="str">
        <f t="shared" si="3"/>
        <v>R$ 0,00</v>
      </c>
      <c r="I78" t="str">
        <f>"R$ 1.100,00"</f>
        <v>R$ 1.100,00</v>
      </c>
      <c r="J78" t="str">
        <f>"R$ 550,00"</f>
        <v>R$ 550,00</v>
      </c>
      <c r="K78" t="str">
        <f>"R$ 550,00"</f>
        <v>R$ 550,00</v>
      </c>
    </row>
    <row r="79" spans="1:11" x14ac:dyDescent="0.25">
      <c r="A79" t="str">
        <f>"00001503 / 1"</f>
        <v>00001503 / 1</v>
      </c>
      <c r="B79" t="str">
        <f>"13° Salário Anual"</f>
        <v>13° Salário Anual</v>
      </c>
      <c r="C79" t="str">
        <f>"Ana Clara Assuncao Santana"</f>
        <v>Ana Clara Assuncao Santana</v>
      </c>
      <c r="D79" t="str">
        <f>"PROFESSOR"</f>
        <v>PROFESSOR</v>
      </c>
      <c r="E79" t="str">
        <f t="shared" si="4"/>
        <v>Efetivo-Inativo I- RJUSM</v>
      </c>
      <c r="F79" t="str">
        <f>"R$ 2.071,51"</f>
        <v>R$ 2.071,51</v>
      </c>
      <c r="G79" t="str">
        <f>"R$ 2.589,38"</f>
        <v>R$ 2.589,38</v>
      </c>
      <c r="H79" t="str">
        <f t="shared" si="3"/>
        <v>R$ 0,00</v>
      </c>
      <c r="I79" t="str">
        <f>"R$ 2.589,38"</f>
        <v>R$ 2.589,38</v>
      </c>
      <c r="J79" t="str">
        <f>"R$ 1.294,69"</f>
        <v>R$ 1.294,69</v>
      </c>
      <c r="K79" t="str">
        <f>"R$ 1.294,69"</f>
        <v>R$ 1.294,69</v>
      </c>
    </row>
    <row r="80" spans="1:11" x14ac:dyDescent="0.25">
      <c r="A80" t="str">
        <f>"00001503 / 1"</f>
        <v>00001503 / 1</v>
      </c>
      <c r="B80" t="str">
        <f>"Folha Mensal"</f>
        <v>Folha Mensal</v>
      </c>
      <c r="C80" t="str">
        <f>"Ana Clara Assuncao Santana"</f>
        <v>Ana Clara Assuncao Santana</v>
      </c>
      <c r="D80" t="str">
        <f>"PROFESSOR"</f>
        <v>PROFESSOR</v>
      </c>
      <c r="E80" t="str">
        <f t="shared" si="4"/>
        <v>Efetivo-Inativo I- RJUSM</v>
      </c>
      <c r="F80" t="str">
        <f>"R$ 2.071,51"</f>
        <v>R$ 2.071,51</v>
      </c>
      <c r="G80" t="str">
        <f>"R$ 2.589,38"</f>
        <v>R$ 2.589,38</v>
      </c>
      <c r="H80" t="str">
        <f t="shared" si="3"/>
        <v>R$ 0,00</v>
      </c>
      <c r="I80" t="str">
        <f>"R$ 2.589,38"</f>
        <v>R$ 2.589,38</v>
      </c>
      <c r="J80" t="str">
        <f>"R$ 775,36"</f>
        <v>R$ 775,36</v>
      </c>
      <c r="K80" t="str">
        <f>"R$ 1.814,02"</f>
        <v>R$ 1.814,02</v>
      </c>
    </row>
    <row r="81" spans="1:11" x14ac:dyDescent="0.25">
      <c r="A81" t="str">
        <f>"03642402 / 1"</f>
        <v>03642402 / 1</v>
      </c>
      <c r="B81" t="str">
        <f>"13° Salário Anual"</f>
        <v>13° Salário Anual</v>
      </c>
      <c r="C81" t="str">
        <f>"Ana Clara Serrao da Silva"</f>
        <v>Ana Clara Serrao da Silva</v>
      </c>
      <c r="D81" t="str">
        <f>"PROFESSOR"</f>
        <v>PROFESSOR</v>
      </c>
      <c r="E81" t="str">
        <f t="shared" si="4"/>
        <v>Efetivo-Inativo I- RJUSM</v>
      </c>
      <c r="F81" t="str">
        <f>"R$ 1.593,46"</f>
        <v>R$ 1.593,46</v>
      </c>
      <c r="G81" t="str">
        <f>"R$ 3.149,37"</f>
        <v>R$ 3.149,37</v>
      </c>
      <c r="H81" t="str">
        <f t="shared" si="3"/>
        <v>R$ 0,00</v>
      </c>
      <c r="I81" t="str">
        <f>"R$ 3.149,37"</f>
        <v>R$ 3.149,37</v>
      </c>
      <c r="J81" t="str">
        <f>"R$ 1.574,68"</f>
        <v>R$ 1.574,68</v>
      </c>
      <c r="K81" t="str">
        <f>"R$ 1.574,69"</f>
        <v>R$ 1.574,69</v>
      </c>
    </row>
    <row r="82" spans="1:11" x14ac:dyDescent="0.25">
      <c r="A82" t="str">
        <f>"03642402 / 1"</f>
        <v>03642402 / 1</v>
      </c>
      <c r="B82" t="str">
        <f>"Folha Mensal"</f>
        <v>Folha Mensal</v>
      </c>
      <c r="C82" t="str">
        <f>"Ana Clara Serrao da Silva"</f>
        <v>Ana Clara Serrao da Silva</v>
      </c>
      <c r="D82" t="str">
        <f>"PROFESSOR"</f>
        <v>PROFESSOR</v>
      </c>
      <c r="E82" t="str">
        <f t="shared" si="4"/>
        <v>Efetivo-Inativo I- RJUSM</v>
      </c>
      <c r="F82" t="str">
        <f>"R$ 1.593,46"</f>
        <v>R$ 1.593,46</v>
      </c>
      <c r="G82" t="str">
        <f>"R$ 3.149,37"</f>
        <v>R$ 3.149,37</v>
      </c>
      <c r="H82" t="str">
        <f t="shared" si="3"/>
        <v>R$ 0,00</v>
      </c>
      <c r="I82" t="str">
        <f>"R$ 3.149,37"</f>
        <v>R$ 3.149,37</v>
      </c>
      <c r="J82" t="str">
        <f>"R$ 1.087,47"</f>
        <v>R$ 1.087,47</v>
      </c>
      <c r="K82" t="str">
        <f>"R$ 2.061,90"</f>
        <v>R$ 2.061,90</v>
      </c>
    </row>
    <row r="83" spans="1:11" x14ac:dyDescent="0.25">
      <c r="A83" t="str">
        <f>"00009709 / 3"</f>
        <v>00009709 / 3</v>
      </c>
      <c r="B83" t="str">
        <f>"13° Salário Anual"</f>
        <v>13° Salário Anual</v>
      </c>
      <c r="C83" t="str">
        <f>"Ana Gloria Amaral Barbosa"</f>
        <v>Ana Gloria Amaral Barbosa</v>
      </c>
      <c r="D83" t="str">
        <f>"INT TEMP CONTRIBUICAO"</f>
        <v>INT TEMP CONTRIBUICAO</v>
      </c>
      <c r="E83" t="str">
        <f>"Efetivo-Inativos II-RJUSM"</f>
        <v>Efetivo-Inativos II-RJUSM</v>
      </c>
      <c r="F83" t="str">
        <f>"R$ 1.100,00"</f>
        <v>R$ 1.100,00</v>
      </c>
      <c r="G83" t="str">
        <f>"R$ 1.430,00"</f>
        <v>R$ 1.430,00</v>
      </c>
      <c r="H83" t="str">
        <f t="shared" si="3"/>
        <v>R$ 0,00</v>
      </c>
      <c r="I83" t="str">
        <f>"R$ 1.430,00"</f>
        <v>R$ 1.430,00</v>
      </c>
      <c r="J83" t="str">
        <f>"R$ 715,00"</f>
        <v>R$ 715,00</v>
      </c>
      <c r="K83" t="str">
        <f>"R$ 715,00"</f>
        <v>R$ 715,00</v>
      </c>
    </row>
    <row r="84" spans="1:11" x14ac:dyDescent="0.25">
      <c r="A84" t="str">
        <f>"00009709 / 3"</f>
        <v>00009709 / 3</v>
      </c>
      <c r="B84" t="str">
        <f>"Folha Mensal"</f>
        <v>Folha Mensal</v>
      </c>
      <c r="C84" t="str">
        <f>"Ana Gloria Amaral Barbosa"</f>
        <v>Ana Gloria Amaral Barbosa</v>
      </c>
      <c r="D84" t="str">
        <f>"INT TEMP CONTRIBUICAO"</f>
        <v>INT TEMP CONTRIBUICAO</v>
      </c>
      <c r="E84" t="str">
        <f>"Efetivo-Inativos II-RJUSM"</f>
        <v>Efetivo-Inativos II-RJUSM</v>
      </c>
      <c r="F84" t="str">
        <f>"R$ 1.100,00"</f>
        <v>R$ 1.100,00</v>
      </c>
      <c r="G84" t="str">
        <f>"R$ 1.430,00"</f>
        <v>R$ 1.430,00</v>
      </c>
      <c r="H84" t="str">
        <f t="shared" si="3"/>
        <v>R$ 0,00</v>
      </c>
      <c r="I84" t="str">
        <f>"R$ 1.430,00"</f>
        <v>R$ 1.430,00</v>
      </c>
      <c r="J84" t="str">
        <f>"R$ 0,00"</f>
        <v>R$ 0,00</v>
      </c>
      <c r="K84" t="str">
        <f>"R$ 1.430,00"</f>
        <v>R$ 1.430,00</v>
      </c>
    </row>
    <row r="85" spans="1:11" x14ac:dyDescent="0.25">
      <c r="A85" t="str">
        <f>"00000469 / 1"</f>
        <v>00000469 / 1</v>
      </c>
      <c r="B85" t="str">
        <f>"13° Salário Anual"</f>
        <v>13° Salário Anual</v>
      </c>
      <c r="C85" t="str">
        <f>"Ana Graca Amaral Barbosa"</f>
        <v>Ana Graca Amaral Barbosa</v>
      </c>
      <c r="D85" t="str">
        <f>"PROFESSOR"</f>
        <v>PROFESSOR</v>
      </c>
      <c r="E85" t="str">
        <f>"Efetivo-Inativo I- RJUSM"</f>
        <v>Efetivo-Inativo I- RJUSM</v>
      </c>
      <c r="F85" t="str">
        <f>"R$ 1.593,46"</f>
        <v>R$ 1.593,46</v>
      </c>
      <c r="G85" t="str">
        <f>"R$ 1.832,47"</f>
        <v>R$ 1.832,47</v>
      </c>
      <c r="H85" t="str">
        <f t="shared" si="3"/>
        <v>R$ 0,00</v>
      </c>
      <c r="I85" t="str">
        <f>"R$ 1.832,47"</f>
        <v>R$ 1.832,47</v>
      </c>
      <c r="J85" t="str">
        <f>"R$ 916,23"</f>
        <v>R$ 916,23</v>
      </c>
      <c r="K85" t="str">
        <f>"R$ 916,24"</f>
        <v>R$ 916,24</v>
      </c>
    </row>
    <row r="86" spans="1:11" x14ac:dyDescent="0.25">
      <c r="A86" t="str">
        <f>"00000469 / 1"</f>
        <v>00000469 / 1</v>
      </c>
      <c r="B86" t="str">
        <f>"Folha Mensal"</f>
        <v>Folha Mensal</v>
      </c>
      <c r="C86" t="str">
        <f>"Ana Graca Amaral Barbosa"</f>
        <v>Ana Graca Amaral Barbosa</v>
      </c>
      <c r="D86" t="str">
        <f>"PROFESSOR"</f>
        <v>PROFESSOR</v>
      </c>
      <c r="E86" t="str">
        <f>"Efetivo-Inativo I- RJUSM"</f>
        <v>Efetivo-Inativo I- RJUSM</v>
      </c>
      <c r="F86" t="str">
        <f>"R$ 1.593,46"</f>
        <v>R$ 1.593,46</v>
      </c>
      <c r="G86" t="str">
        <f>"R$ 1.832,47"</f>
        <v>R$ 1.832,47</v>
      </c>
      <c r="H86" t="str">
        <f t="shared" si="3"/>
        <v>R$ 0,00</v>
      </c>
      <c r="I86" t="str">
        <f>"R$ 1.832,47"</f>
        <v>R$ 1.832,47</v>
      </c>
      <c r="J86" t="str">
        <f>"R$ 0,00"</f>
        <v>R$ 0,00</v>
      </c>
      <c r="K86" t="str">
        <f>"R$ 1.832,47"</f>
        <v>R$ 1.832,47</v>
      </c>
    </row>
    <row r="87" spans="1:11" x14ac:dyDescent="0.25">
      <c r="A87" t="str">
        <f>"00015210 / 1"</f>
        <v>00015210 / 1</v>
      </c>
      <c r="B87" t="str">
        <f>"13° Salário Anual"</f>
        <v>13° Salário Anual</v>
      </c>
      <c r="C87" t="str">
        <f>"Ana Gracila de Jesus Nascimento de Albuquerque"</f>
        <v>Ana Gracila de Jesus Nascimento de Albuquerque</v>
      </c>
      <c r="D87" t="str">
        <f>"PROFESSOR"</f>
        <v>PROFESSOR</v>
      </c>
      <c r="E87" t="str">
        <f>"Efetivo-Inativo I- RJUSM"</f>
        <v>Efetivo-Inativo I- RJUSM</v>
      </c>
      <c r="F87" t="str">
        <f>"R$ 2.071,51"</f>
        <v>R$ 2.071,51</v>
      </c>
      <c r="G87" t="str">
        <f>"R$ 2.485,81"</f>
        <v>R$ 2.485,81</v>
      </c>
      <c r="H87" t="str">
        <f t="shared" si="3"/>
        <v>R$ 0,00</v>
      </c>
      <c r="I87" t="str">
        <f>"R$ 2.485,81"</f>
        <v>R$ 2.485,81</v>
      </c>
      <c r="J87" t="str">
        <f>"R$ 1.242,90"</f>
        <v>R$ 1.242,90</v>
      </c>
      <c r="K87" t="str">
        <f>"R$ 1.242,91"</f>
        <v>R$ 1.242,91</v>
      </c>
    </row>
    <row r="88" spans="1:11" x14ac:dyDescent="0.25">
      <c r="A88" t="str">
        <f>"00015210 / 1"</f>
        <v>00015210 / 1</v>
      </c>
      <c r="B88" t="str">
        <f>"Folha Mensal"</f>
        <v>Folha Mensal</v>
      </c>
      <c r="C88" t="str">
        <f>"Ana Gracila de Jesus Nascimento de Albuquerque"</f>
        <v>Ana Gracila de Jesus Nascimento de Albuquerque</v>
      </c>
      <c r="D88" t="str">
        <f>"PROFESSOR"</f>
        <v>PROFESSOR</v>
      </c>
      <c r="E88" t="str">
        <f>"Efetivo-Inativo I- RJUSM"</f>
        <v>Efetivo-Inativo I- RJUSM</v>
      </c>
      <c r="F88" t="str">
        <f>"R$ 2.071,51"</f>
        <v>R$ 2.071,51</v>
      </c>
      <c r="G88" t="str">
        <f>"R$ 2.485,81"</f>
        <v>R$ 2.485,81</v>
      </c>
      <c r="H88" t="str">
        <f t="shared" si="3"/>
        <v>R$ 0,00</v>
      </c>
      <c r="I88" t="str">
        <f>"R$ 2.485,81"</f>
        <v>R$ 2.485,81</v>
      </c>
      <c r="J88" t="str">
        <f>"R$ 585,83"</f>
        <v>R$ 585,83</v>
      </c>
      <c r="K88" t="str">
        <f>"R$ 1.899,98"</f>
        <v>R$ 1.899,98</v>
      </c>
    </row>
    <row r="89" spans="1:11" x14ac:dyDescent="0.25">
      <c r="A89" t="str">
        <f>"03640035 / 1"</f>
        <v>03640035 / 1</v>
      </c>
      <c r="B89" t="str">
        <f>"13° Salário Anual"</f>
        <v>13° Salário Anual</v>
      </c>
      <c r="C89" t="str">
        <f>"Ana Julia Tolosa Rodrigues Vila Real"</f>
        <v>Ana Julia Tolosa Rodrigues Vila Real</v>
      </c>
      <c r="D89" t="str">
        <f>"PROFESSOR NIVEL III"</f>
        <v>PROFESSOR NIVEL III</v>
      </c>
      <c r="E89" t="str">
        <f>"Efetivo-Inativos II-RJUSM"</f>
        <v>Efetivo-Inativos II-RJUSM</v>
      </c>
      <c r="F89" t="str">
        <f>"R$ 5.736,47"</f>
        <v>R$ 5.736,47</v>
      </c>
      <c r="G89" t="str">
        <f>"R$ 7.170,58"</f>
        <v>R$ 7.170,58</v>
      </c>
      <c r="H89" t="str">
        <f t="shared" si="3"/>
        <v>R$ 0,00</v>
      </c>
      <c r="I89" t="str">
        <f>"R$ 7.170,58"</f>
        <v>R$ 7.170,58</v>
      </c>
      <c r="J89" t="str">
        <f>"R$ 4.796,39"</f>
        <v>R$ 4.796,39</v>
      </c>
      <c r="K89" t="str">
        <f>"R$ 2.374,19"</f>
        <v>R$ 2.374,19</v>
      </c>
    </row>
    <row r="90" spans="1:11" x14ac:dyDescent="0.25">
      <c r="A90" t="str">
        <f>"03640035 / 1"</f>
        <v>03640035 / 1</v>
      </c>
      <c r="B90" t="str">
        <f>"Folha Mensal"</f>
        <v>Folha Mensal</v>
      </c>
      <c r="C90" t="str">
        <f>"Ana Julia Tolosa Rodrigues Vila Real"</f>
        <v>Ana Julia Tolosa Rodrigues Vila Real</v>
      </c>
      <c r="D90" t="str">
        <f>"PROFESSOR NIVEL III"</f>
        <v>PROFESSOR NIVEL III</v>
      </c>
      <c r="E90" t="str">
        <f>"Efetivo-Inativos II-RJUSM"</f>
        <v>Efetivo-Inativos II-RJUSM</v>
      </c>
      <c r="F90" t="str">
        <f>"R$ 5.736,47"</f>
        <v>R$ 5.736,47</v>
      </c>
      <c r="G90" t="str">
        <f>"R$ 7.170,58"</f>
        <v>R$ 7.170,58</v>
      </c>
      <c r="H90" t="str">
        <f t="shared" si="3"/>
        <v>R$ 0,00</v>
      </c>
      <c r="I90" t="str">
        <f>"R$ 7.170,58"</f>
        <v>R$ 7.170,58</v>
      </c>
      <c r="J90" t="str">
        <f>"R$ 1.211,10"</f>
        <v>R$ 1.211,10</v>
      </c>
      <c r="K90" t="str">
        <f>"R$ 5.959,48"</f>
        <v>R$ 5.959,48</v>
      </c>
    </row>
    <row r="91" spans="1:11" x14ac:dyDescent="0.25">
      <c r="A91" t="str">
        <f>"03641430 / 1"</f>
        <v>03641430 / 1</v>
      </c>
      <c r="B91" t="str">
        <f>"13° Salário Anual"</f>
        <v>13° Salário Anual</v>
      </c>
      <c r="C91" t="str">
        <f>"Ana Livia Aleixo Melo"</f>
        <v>Ana Livia Aleixo Melo</v>
      </c>
      <c r="D91" t="str">
        <f>"PENSIONISTA"</f>
        <v>PENSIONISTA</v>
      </c>
      <c r="E91" t="str">
        <f>"Pensionista"</f>
        <v>Pensionista</v>
      </c>
      <c r="F91" t="str">
        <f>"R$ 295,95"</f>
        <v>R$ 295,95</v>
      </c>
      <c r="G91" t="str">
        <f>"R$ 246,62"</f>
        <v>R$ 246,62</v>
      </c>
      <c r="H91" t="str">
        <f t="shared" si="3"/>
        <v>R$ 0,00</v>
      </c>
      <c r="I91" t="str">
        <f>"R$ 246,62"</f>
        <v>R$ 246,62</v>
      </c>
      <c r="J91" t="str">
        <f>"R$ 123,31"</f>
        <v>R$ 123,31</v>
      </c>
      <c r="K91" t="str">
        <f>"R$ 123,31"</f>
        <v>R$ 123,31</v>
      </c>
    </row>
    <row r="92" spans="1:11" x14ac:dyDescent="0.25">
      <c r="A92" t="str">
        <f>"03641430 / 1"</f>
        <v>03641430 / 1</v>
      </c>
      <c r="B92" t="str">
        <f>"Folha Mensal"</f>
        <v>Folha Mensal</v>
      </c>
      <c r="C92" t="str">
        <f>"Ana Livia Aleixo Melo"</f>
        <v>Ana Livia Aleixo Melo</v>
      </c>
      <c r="D92" t="str">
        <f>"PENSIONISTA"</f>
        <v>PENSIONISTA</v>
      </c>
      <c r="E92" t="str">
        <f>"Pensionista"</f>
        <v>Pensionista</v>
      </c>
      <c r="F92" t="str">
        <f>"R$ 295,95"</f>
        <v>R$ 295,95</v>
      </c>
      <c r="G92" t="str">
        <f>"R$ 295,95"</f>
        <v>R$ 295,95</v>
      </c>
      <c r="H92" t="str">
        <f t="shared" si="3"/>
        <v>R$ 0,00</v>
      </c>
      <c r="I92" t="str">
        <f>"R$ 295,95"</f>
        <v>R$ 295,95</v>
      </c>
      <c r="J92" t="str">
        <f>"R$ 0,00"</f>
        <v>R$ 0,00</v>
      </c>
      <c r="K92" t="str">
        <f>"R$ 295,95"</f>
        <v>R$ 295,95</v>
      </c>
    </row>
    <row r="93" spans="1:11" x14ac:dyDescent="0.25">
      <c r="A93" t="str">
        <f>"00000191 / 1"</f>
        <v>00000191 / 1</v>
      </c>
      <c r="B93" t="str">
        <f>"13° Salário Anual"</f>
        <v>13° Salário Anual</v>
      </c>
      <c r="C93" t="str">
        <f>"Ana Lucia da Silva Cardoso"</f>
        <v>Ana Lucia da Silva Cardoso</v>
      </c>
      <c r="D93" t="str">
        <f t="shared" ref="D93:D100" si="5">"PROFESSOR"</f>
        <v>PROFESSOR</v>
      </c>
      <c r="E93" t="str">
        <f t="shared" ref="E93:E100" si="6">"Efetivo-Inativo I- RJUSM"</f>
        <v>Efetivo-Inativo I- RJUSM</v>
      </c>
      <c r="F93" t="str">
        <f>"R$ 3.465,62"</f>
        <v>R$ 3.465,62</v>
      </c>
      <c r="G93" t="str">
        <f>"R$ 7.208,48"</f>
        <v>R$ 7.208,48</v>
      </c>
      <c r="H93" t="str">
        <f t="shared" si="3"/>
        <v>R$ 0,00</v>
      </c>
      <c r="I93" t="str">
        <f>"R$ 7.208,48"</f>
        <v>R$ 7.208,48</v>
      </c>
      <c r="J93" t="str">
        <f>"R$ 3.997,85"</f>
        <v>R$ 3.997,85</v>
      </c>
      <c r="K93" t="str">
        <f>"R$ 3.210,63"</f>
        <v>R$ 3.210,63</v>
      </c>
    </row>
    <row r="94" spans="1:11" x14ac:dyDescent="0.25">
      <c r="A94" t="str">
        <f>"00000191 / 1"</f>
        <v>00000191 / 1</v>
      </c>
      <c r="B94" t="str">
        <f>"Folha Mensal"</f>
        <v>Folha Mensal</v>
      </c>
      <c r="C94" t="str">
        <f>"Ana Lucia da Silva Cardoso"</f>
        <v>Ana Lucia da Silva Cardoso</v>
      </c>
      <c r="D94" t="str">
        <f t="shared" si="5"/>
        <v>PROFESSOR</v>
      </c>
      <c r="E94" t="str">
        <f t="shared" si="6"/>
        <v>Efetivo-Inativo I- RJUSM</v>
      </c>
      <c r="F94" t="str">
        <f>"R$ 3.465,62"</f>
        <v>R$ 3.465,62</v>
      </c>
      <c r="G94" t="str">
        <f>"R$ 7.208,48"</f>
        <v>R$ 7.208,48</v>
      </c>
      <c r="H94" t="str">
        <f t="shared" si="3"/>
        <v>R$ 0,00</v>
      </c>
      <c r="I94" t="str">
        <f>"R$ 7.208,48"</f>
        <v>R$ 7.208,48</v>
      </c>
      <c r="J94" t="str">
        <f>"R$ 1.225,36"</f>
        <v>R$ 1.225,36</v>
      </c>
      <c r="K94" t="str">
        <f>"R$ 5.983,12"</f>
        <v>R$ 5.983,12</v>
      </c>
    </row>
    <row r="95" spans="1:11" x14ac:dyDescent="0.25">
      <c r="A95" t="str">
        <f>"00029386 / 1"</f>
        <v>00029386 / 1</v>
      </c>
      <c r="B95" t="str">
        <f>"13° Salário Anual"</f>
        <v>13° Salário Anual</v>
      </c>
      <c r="C95" t="str">
        <f>"Ana Lucia dos Passos Guedes"</f>
        <v>Ana Lucia dos Passos Guedes</v>
      </c>
      <c r="D95" t="str">
        <f t="shared" si="5"/>
        <v>PROFESSOR</v>
      </c>
      <c r="E95" t="str">
        <f t="shared" si="6"/>
        <v>Efetivo-Inativo I- RJUSM</v>
      </c>
      <c r="F95" t="str">
        <f>"R$ 2.297,78"</f>
        <v>R$ 2.297,78</v>
      </c>
      <c r="G95" t="str">
        <f>"R$ 2.872,22"</f>
        <v>R$ 2.872,22</v>
      </c>
      <c r="H95" t="str">
        <f t="shared" si="3"/>
        <v>R$ 0,00</v>
      </c>
      <c r="I95" t="str">
        <f>"R$ 2.872,22"</f>
        <v>R$ 2.872,22</v>
      </c>
      <c r="J95" t="str">
        <f>"R$ 1.436,11"</f>
        <v>R$ 1.436,11</v>
      </c>
      <c r="K95" t="str">
        <f>"R$ 1.436,11"</f>
        <v>R$ 1.436,11</v>
      </c>
    </row>
    <row r="96" spans="1:11" x14ac:dyDescent="0.25">
      <c r="A96" t="str">
        <f>"00029386 / 1"</f>
        <v>00029386 / 1</v>
      </c>
      <c r="B96" t="str">
        <f>"Folha Mensal"</f>
        <v>Folha Mensal</v>
      </c>
      <c r="C96" t="str">
        <f>"Ana Lucia dos Passos Guedes"</f>
        <v>Ana Lucia dos Passos Guedes</v>
      </c>
      <c r="D96" t="str">
        <f t="shared" si="5"/>
        <v>PROFESSOR</v>
      </c>
      <c r="E96" t="str">
        <f t="shared" si="6"/>
        <v>Efetivo-Inativo I- RJUSM</v>
      </c>
      <c r="F96" t="str">
        <f>"R$ 2.297,78"</f>
        <v>R$ 2.297,78</v>
      </c>
      <c r="G96" t="str">
        <f>"R$ 2.872,22"</f>
        <v>R$ 2.872,22</v>
      </c>
      <c r="H96" t="str">
        <f t="shared" ref="H96:H127" si="7">"R$ 0,00"</f>
        <v>R$ 0,00</v>
      </c>
      <c r="I96" t="str">
        <f>"R$ 2.872,22"</f>
        <v>R$ 2.872,22</v>
      </c>
      <c r="J96" t="str">
        <f>"R$ 0,00"</f>
        <v>R$ 0,00</v>
      </c>
      <c r="K96" t="str">
        <f>"R$ 2.872,22"</f>
        <v>R$ 2.872,22</v>
      </c>
    </row>
    <row r="97" spans="1:11" x14ac:dyDescent="0.25">
      <c r="A97" t="str">
        <f>"00004766 / 1"</f>
        <v>00004766 / 1</v>
      </c>
      <c r="B97" t="str">
        <f>"13° Salário Anual"</f>
        <v>13° Salário Anual</v>
      </c>
      <c r="C97" t="str">
        <f>"Ana Marcelia Barbosa da Silva"</f>
        <v>Ana Marcelia Barbosa da Silva</v>
      </c>
      <c r="D97" t="str">
        <f t="shared" si="5"/>
        <v>PROFESSOR</v>
      </c>
      <c r="E97" t="str">
        <f t="shared" si="6"/>
        <v>Efetivo-Inativo I- RJUSM</v>
      </c>
      <c r="F97" t="str">
        <f>"R$ 2.071,51"</f>
        <v>R$ 2.071,51</v>
      </c>
      <c r="G97" t="str">
        <f>"R$ 4.764,47"</f>
        <v>R$ 4.764,47</v>
      </c>
      <c r="H97" t="str">
        <f t="shared" si="7"/>
        <v>R$ 0,00</v>
      </c>
      <c r="I97" t="str">
        <f>"R$ 4.764,47"</f>
        <v>R$ 4.764,47</v>
      </c>
      <c r="J97" t="str">
        <f>"R$ 2.382,23"</f>
        <v>R$ 2.382,23</v>
      </c>
      <c r="K97" t="str">
        <f>"R$ 2.382,24"</f>
        <v>R$ 2.382,24</v>
      </c>
    </row>
    <row r="98" spans="1:11" x14ac:dyDescent="0.25">
      <c r="A98" t="str">
        <f>"00004766 / 1"</f>
        <v>00004766 / 1</v>
      </c>
      <c r="B98" t="str">
        <f>"Folha Mensal"</f>
        <v>Folha Mensal</v>
      </c>
      <c r="C98" t="str">
        <f>"Ana Marcelia Barbosa da Silva"</f>
        <v>Ana Marcelia Barbosa da Silva</v>
      </c>
      <c r="D98" t="str">
        <f t="shared" si="5"/>
        <v>PROFESSOR</v>
      </c>
      <c r="E98" t="str">
        <f t="shared" si="6"/>
        <v>Efetivo-Inativo I- RJUSM</v>
      </c>
      <c r="F98" t="str">
        <f>"R$ 2.071,51"</f>
        <v>R$ 2.071,51</v>
      </c>
      <c r="G98" t="str">
        <f>"R$ 4.764,47"</f>
        <v>R$ 4.764,47</v>
      </c>
      <c r="H98" t="str">
        <f t="shared" si="7"/>
        <v>R$ 0,00</v>
      </c>
      <c r="I98" t="str">
        <f>"R$ 4.764,47"</f>
        <v>R$ 4.764,47</v>
      </c>
      <c r="J98" t="str">
        <f>"R$ 976,40"</f>
        <v>R$ 976,40</v>
      </c>
      <c r="K98" t="str">
        <f>"R$ 3.788,07"</f>
        <v>R$ 3.788,07</v>
      </c>
    </row>
    <row r="99" spans="1:11" x14ac:dyDescent="0.25">
      <c r="A99" t="str">
        <f>"00004863 / 1"</f>
        <v>00004863 / 1</v>
      </c>
      <c r="B99" t="str">
        <f>"13° Salário Anual"</f>
        <v>13° Salário Anual</v>
      </c>
      <c r="C99" t="str">
        <f>"Ana Maria Amaral Paula"</f>
        <v>Ana Maria Amaral Paula</v>
      </c>
      <c r="D99" t="str">
        <f t="shared" si="5"/>
        <v>PROFESSOR</v>
      </c>
      <c r="E99" t="str">
        <f t="shared" si="6"/>
        <v>Efetivo-Inativo I- RJUSM</v>
      </c>
      <c r="F99" t="str">
        <f>"R$ 1.593,46"</f>
        <v>R$ 1.593,46</v>
      </c>
      <c r="G99" t="str">
        <f>"R$ 1.991,82"</f>
        <v>R$ 1.991,82</v>
      </c>
      <c r="H99" t="str">
        <f t="shared" si="7"/>
        <v>R$ 0,00</v>
      </c>
      <c r="I99" t="str">
        <f>"R$ 1.991,82"</f>
        <v>R$ 1.991,82</v>
      </c>
      <c r="J99" t="str">
        <f>"R$ 995,91"</f>
        <v>R$ 995,91</v>
      </c>
      <c r="K99" t="str">
        <f>"R$ 995,91"</f>
        <v>R$ 995,91</v>
      </c>
    </row>
    <row r="100" spans="1:11" x14ac:dyDescent="0.25">
      <c r="A100" t="str">
        <f>"00004863 / 1"</f>
        <v>00004863 / 1</v>
      </c>
      <c r="B100" t="str">
        <f>"Folha Mensal"</f>
        <v>Folha Mensal</v>
      </c>
      <c r="C100" t="str">
        <f>"Ana Maria Amaral Paula"</f>
        <v>Ana Maria Amaral Paula</v>
      </c>
      <c r="D100" t="str">
        <f t="shared" si="5"/>
        <v>PROFESSOR</v>
      </c>
      <c r="E100" t="str">
        <f t="shared" si="6"/>
        <v>Efetivo-Inativo I- RJUSM</v>
      </c>
      <c r="F100" t="str">
        <f>"R$ 1.593,46"</f>
        <v>R$ 1.593,46</v>
      </c>
      <c r="G100" t="str">
        <f>"R$ 1.991,82"</f>
        <v>R$ 1.991,82</v>
      </c>
      <c r="H100" t="str">
        <f t="shared" si="7"/>
        <v>R$ 0,00</v>
      </c>
      <c r="I100" t="str">
        <f>"R$ 1.991,82"</f>
        <v>R$ 1.991,82</v>
      </c>
      <c r="J100" t="str">
        <f>"R$ 241,90"</f>
        <v>R$ 241,90</v>
      </c>
      <c r="K100" t="str">
        <f>"R$ 1.749,92"</f>
        <v>R$ 1.749,92</v>
      </c>
    </row>
    <row r="101" spans="1:11" x14ac:dyDescent="0.25">
      <c r="A101" t="str">
        <f>"00052833 / 1"</f>
        <v>00052833 / 1</v>
      </c>
      <c r="B101" t="str">
        <f>"13° Salário Anual"</f>
        <v>13° Salário Anual</v>
      </c>
      <c r="C101" t="str">
        <f>"Ana Maria Brito Cardoso"</f>
        <v>Ana Maria Brito Cardoso</v>
      </c>
      <c r="D101" t="str">
        <f>"PROFESSOR NIVEL II"</f>
        <v>PROFESSOR NIVEL II</v>
      </c>
      <c r="E101" t="str">
        <f>"Efetivo-Inativos II-RJUSM"</f>
        <v>Efetivo-Inativos II-RJUSM</v>
      </c>
      <c r="F101" t="str">
        <f>"R$ 5.258,43"</f>
        <v>R$ 5.258,43</v>
      </c>
      <c r="G101" t="str">
        <f>"R$ 6.310,11"</f>
        <v>R$ 6.310,11</v>
      </c>
      <c r="H101" t="str">
        <f t="shared" si="7"/>
        <v>R$ 0,00</v>
      </c>
      <c r="I101" t="str">
        <f>"R$ 6.310,11"</f>
        <v>R$ 6.310,11</v>
      </c>
      <c r="J101" t="str">
        <f>"R$ 3.184,31"</f>
        <v>R$ 3.184,31</v>
      </c>
      <c r="K101" t="str">
        <f>"R$ 3.125,80"</f>
        <v>R$ 3.125,80</v>
      </c>
    </row>
    <row r="102" spans="1:11" x14ac:dyDescent="0.25">
      <c r="A102" t="str">
        <f>"00052833 / 1"</f>
        <v>00052833 / 1</v>
      </c>
      <c r="B102" t="str">
        <f>"Folha Mensal"</f>
        <v>Folha Mensal</v>
      </c>
      <c r="C102" t="str">
        <f>"Ana Maria Brito Cardoso"</f>
        <v>Ana Maria Brito Cardoso</v>
      </c>
      <c r="D102" t="str">
        <f>"PROFESSOR NIVEL II"</f>
        <v>PROFESSOR NIVEL II</v>
      </c>
      <c r="E102" t="str">
        <f>"Efetivo-Inativos II-RJUSM"</f>
        <v>Efetivo-Inativos II-RJUSM</v>
      </c>
      <c r="F102" t="str">
        <f>"R$ 5.258,43"</f>
        <v>R$ 5.258,43</v>
      </c>
      <c r="G102" t="str">
        <f>"R$ 6.310,11"</f>
        <v>R$ 6.310,11</v>
      </c>
      <c r="H102" t="str">
        <f t="shared" si="7"/>
        <v>R$ 0,00</v>
      </c>
      <c r="I102" t="str">
        <f>"R$ 6.310,11"</f>
        <v>R$ 6.310,11</v>
      </c>
      <c r="J102" t="str">
        <f>"R$ 29,26"</f>
        <v>R$ 29,26</v>
      </c>
      <c r="K102" t="str">
        <f>"R$ 6.280,85"</f>
        <v>R$ 6.280,85</v>
      </c>
    </row>
    <row r="103" spans="1:11" x14ac:dyDescent="0.25">
      <c r="A103" t="str">
        <f>"00026808 / 2"</f>
        <v>00026808 / 2</v>
      </c>
      <c r="B103" t="str">
        <f>"13° Salário Anual"</f>
        <v>13° Salário Anual</v>
      </c>
      <c r="C103" t="str">
        <f>"Ana Maria Celeste de Souza Lima"</f>
        <v>Ana Maria Celeste de Souza Lima</v>
      </c>
      <c r="D103" t="str">
        <f>"INT TEMP CONTRIBUICAO"</f>
        <v>INT TEMP CONTRIBUICAO</v>
      </c>
      <c r="E103" t="str">
        <f>"Efetivo-Inativos II-RJUSM"</f>
        <v>Efetivo-Inativos II-RJUSM</v>
      </c>
      <c r="F103" t="str">
        <f>"R$ 1.100,00"</f>
        <v>R$ 1.100,00</v>
      </c>
      <c r="G103" t="str">
        <f>"R$ 1.430,00"</f>
        <v>R$ 1.430,00</v>
      </c>
      <c r="H103" t="str">
        <f t="shared" si="7"/>
        <v>R$ 0,00</v>
      </c>
      <c r="I103" t="str">
        <f>"R$ 1.430,00"</f>
        <v>R$ 1.430,00</v>
      </c>
      <c r="J103" t="str">
        <f>"R$ 715,00"</f>
        <v>R$ 715,00</v>
      </c>
      <c r="K103" t="str">
        <f>"R$ 715,00"</f>
        <v>R$ 715,00</v>
      </c>
    </row>
    <row r="104" spans="1:11" x14ac:dyDescent="0.25">
      <c r="A104" t="str">
        <f>"00026808 / 2"</f>
        <v>00026808 / 2</v>
      </c>
      <c r="B104" t="str">
        <f>"Folha Mensal"</f>
        <v>Folha Mensal</v>
      </c>
      <c r="C104" t="str">
        <f>"Ana Maria Celeste de Souza Lima"</f>
        <v>Ana Maria Celeste de Souza Lima</v>
      </c>
      <c r="D104" t="str">
        <f>"INT TEMP CONTRIBUICAO"</f>
        <v>INT TEMP CONTRIBUICAO</v>
      </c>
      <c r="E104" t="str">
        <f>"Efetivo-Inativos II-RJUSM"</f>
        <v>Efetivo-Inativos II-RJUSM</v>
      </c>
      <c r="F104" t="str">
        <f>"R$ 1.100,00"</f>
        <v>R$ 1.100,00</v>
      </c>
      <c r="G104" t="str">
        <f>"R$ 1.430,00"</f>
        <v>R$ 1.430,00</v>
      </c>
      <c r="H104" t="str">
        <f t="shared" si="7"/>
        <v>R$ 0,00</v>
      </c>
      <c r="I104" t="str">
        <f>"R$ 1.430,00"</f>
        <v>R$ 1.430,00</v>
      </c>
      <c r="J104" t="str">
        <f>"R$ 311,81"</f>
        <v>R$ 311,81</v>
      </c>
      <c r="K104" t="str">
        <f>"R$ 1.118,19"</f>
        <v>R$ 1.118,19</v>
      </c>
    </row>
    <row r="105" spans="1:11" x14ac:dyDescent="0.25">
      <c r="A105" t="str">
        <f>"00029939 / 1"</f>
        <v>00029939 / 1</v>
      </c>
      <c r="B105" t="str">
        <f>"13° Salário Anual"</f>
        <v>13° Salário Anual</v>
      </c>
      <c r="C105" t="str">
        <f>"Ana Maria Costa Brito"</f>
        <v>Ana Maria Costa Brito</v>
      </c>
      <c r="D105" t="str">
        <f>"PROFESSOR NIVEL I"</f>
        <v>PROFESSOR NIVEL I</v>
      </c>
      <c r="E105" t="str">
        <f t="shared" ref="E105:E110" si="8">"Efetivo-Inativo I- RJUSM"</f>
        <v>Efetivo-Inativo I- RJUSM</v>
      </c>
      <c r="F105" t="str">
        <f>"R$ 1.593,46"</f>
        <v>R$ 1.593,46</v>
      </c>
      <c r="G105" t="str">
        <f>"R$ 1.912,15"</f>
        <v>R$ 1.912,15</v>
      </c>
      <c r="H105" t="str">
        <f t="shared" si="7"/>
        <v>R$ 0,00</v>
      </c>
      <c r="I105" t="str">
        <f>"R$ 1.912,15"</f>
        <v>R$ 1.912,15</v>
      </c>
      <c r="J105" t="str">
        <f>"R$ 956,07"</f>
        <v>R$ 956,07</v>
      </c>
      <c r="K105" t="str">
        <f>"R$ 956,08"</f>
        <v>R$ 956,08</v>
      </c>
    </row>
    <row r="106" spans="1:11" x14ac:dyDescent="0.25">
      <c r="A106" t="str">
        <f>"00029939 / 1"</f>
        <v>00029939 / 1</v>
      </c>
      <c r="B106" t="str">
        <f>"Folha Mensal"</f>
        <v>Folha Mensal</v>
      </c>
      <c r="C106" t="str">
        <f>"Ana Maria Costa Brito"</f>
        <v>Ana Maria Costa Brito</v>
      </c>
      <c r="D106" t="str">
        <f>"PROFESSOR NIVEL I"</f>
        <v>PROFESSOR NIVEL I</v>
      </c>
      <c r="E106" t="str">
        <f t="shared" si="8"/>
        <v>Efetivo-Inativo I- RJUSM</v>
      </c>
      <c r="F106" t="str">
        <f>"R$ 1.593,46"</f>
        <v>R$ 1.593,46</v>
      </c>
      <c r="G106" t="str">
        <f>"R$ 1.912,15"</f>
        <v>R$ 1.912,15</v>
      </c>
      <c r="H106" t="str">
        <f t="shared" si="7"/>
        <v>R$ 0,00</v>
      </c>
      <c r="I106" t="str">
        <f>"R$ 1.912,15"</f>
        <v>R$ 1.912,15</v>
      </c>
      <c r="J106" t="str">
        <f>"R$ 0,00"</f>
        <v>R$ 0,00</v>
      </c>
      <c r="K106" t="str">
        <f>"R$ 1.912,15"</f>
        <v>R$ 1.912,15</v>
      </c>
    </row>
    <row r="107" spans="1:11" x14ac:dyDescent="0.25">
      <c r="A107" t="str">
        <f>"00005045 / 1"</f>
        <v>00005045 / 1</v>
      </c>
      <c r="B107" t="str">
        <f>"13° Salário Anual"</f>
        <v>13° Salário Anual</v>
      </c>
      <c r="C107" t="str">
        <f>"Ana Maria da Penha Santiago"</f>
        <v>Ana Maria da Penha Santiago</v>
      </c>
      <c r="D107" t="str">
        <f>"INT TEMP CONTRIBUICAO"</f>
        <v>INT TEMP CONTRIBUICAO</v>
      </c>
      <c r="E107" t="str">
        <f t="shared" si="8"/>
        <v>Efetivo-Inativo I- RJUSM</v>
      </c>
      <c r="F107" t="str">
        <f>"R$ 1.100,00"</f>
        <v>R$ 1.100,00</v>
      </c>
      <c r="G107" t="str">
        <f>"R$ 1.430,00"</f>
        <v>R$ 1.430,00</v>
      </c>
      <c r="H107" t="str">
        <f t="shared" si="7"/>
        <v>R$ 0,00</v>
      </c>
      <c r="I107" t="str">
        <f>"R$ 1.430,00"</f>
        <v>R$ 1.430,00</v>
      </c>
      <c r="J107" t="str">
        <f>"R$ 715,00"</f>
        <v>R$ 715,00</v>
      </c>
      <c r="K107" t="str">
        <f>"R$ 715,00"</f>
        <v>R$ 715,00</v>
      </c>
    </row>
    <row r="108" spans="1:11" x14ac:dyDescent="0.25">
      <c r="A108" t="str">
        <f>"00005045 / 1"</f>
        <v>00005045 / 1</v>
      </c>
      <c r="B108" t="str">
        <f>"Folha Mensal"</f>
        <v>Folha Mensal</v>
      </c>
      <c r="C108" t="str">
        <f>"Ana Maria da Penha Santiago"</f>
        <v>Ana Maria da Penha Santiago</v>
      </c>
      <c r="D108" t="str">
        <f>"INT TEMP CONTRIBUICAO"</f>
        <v>INT TEMP CONTRIBUICAO</v>
      </c>
      <c r="E108" t="str">
        <f t="shared" si="8"/>
        <v>Efetivo-Inativo I- RJUSM</v>
      </c>
      <c r="F108" t="str">
        <f>"R$ 1.100,00"</f>
        <v>R$ 1.100,00</v>
      </c>
      <c r="G108" t="str">
        <f>"R$ 1.430,00"</f>
        <v>R$ 1.430,00</v>
      </c>
      <c r="H108" t="str">
        <f t="shared" si="7"/>
        <v>R$ 0,00</v>
      </c>
      <c r="I108" t="str">
        <f>"R$ 1.430,00"</f>
        <v>R$ 1.430,00</v>
      </c>
      <c r="J108" t="str">
        <f>"R$ 340,68"</f>
        <v>R$ 340,68</v>
      </c>
      <c r="K108" t="str">
        <f>"R$ 1.089,32"</f>
        <v>R$ 1.089,32</v>
      </c>
    </row>
    <row r="109" spans="1:11" x14ac:dyDescent="0.25">
      <c r="A109" t="str">
        <f>"00032077 / 1"</f>
        <v>00032077 / 1</v>
      </c>
      <c r="B109" t="str">
        <f>"13° Salário Anual"</f>
        <v>13° Salário Anual</v>
      </c>
      <c r="C109" t="str">
        <f>"Ana Maria das Gracas da Silva"</f>
        <v>Ana Maria das Gracas da Silva</v>
      </c>
      <c r="D109" t="str">
        <f>"PROP IDADE"</f>
        <v>PROP IDADE</v>
      </c>
      <c r="E109" t="str">
        <f t="shared" si="8"/>
        <v>Efetivo-Inativo I- RJUSM</v>
      </c>
      <c r="F109" t="str">
        <f>"R$ 1.100,00"</f>
        <v>R$ 1.100,00</v>
      </c>
      <c r="G109" t="str">
        <f>"R$ 1.100,00"</f>
        <v>R$ 1.100,00</v>
      </c>
      <c r="H109" t="str">
        <f t="shared" si="7"/>
        <v>R$ 0,00</v>
      </c>
      <c r="I109" t="str">
        <f>"R$ 1.100,00"</f>
        <v>R$ 1.100,00</v>
      </c>
      <c r="J109" t="str">
        <f>"R$ 550,00"</f>
        <v>R$ 550,00</v>
      </c>
      <c r="K109" t="str">
        <f>"R$ 550,00"</f>
        <v>R$ 550,00</v>
      </c>
    </row>
    <row r="110" spans="1:11" x14ac:dyDescent="0.25">
      <c r="A110" t="str">
        <f>"00032077 / 1"</f>
        <v>00032077 / 1</v>
      </c>
      <c r="B110" t="str">
        <f>"Folha Mensal"</f>
        <v>Folha Mensal</v>
      </c>
      <c r="C110" t="str">
        <f>"Ana Maria das Gracas da Silva"</f>
        <v>Ana Maria das Gracas da Silva</v>
      </c>
      <c r="D110" t="str">
        <f>"PROP IDADE"</f>
        <v>PROP IDADE</v>
      </c>
      <c r="E110" t="str">
        <f t="shared" si="8"/>
        <v>Efetivo-Inativo I- RJUSM</v>
      </c>
      <c r="F110" t="str">
        <f>"R$ 1.100,00"</f>
        <v>R$ 1.100,00</v>
      </c>
      <c r="G110" t="str">
        <f>"R$ 1.100,00"</f>
        <v>R$ 1.100,00</v>
      </c>
      <c r="H110" t="str">
        <f t="shared" si="7"/>
        <v>R$ 0,00</v>
      </c>
      <c r="I110" t="str">
        <f>"R$ 1.100,00"</f>
        <v>R$ 1.100,00</v>
      </c>
      <c r="J110" t="str">
        <f>"R$ 284,97"</f>
        <v>R$ 284,97</v>
      </c>
      <c r="K110" t="str">
        <f>"R$ 815,03"</f>
        <v>R$ 815,03</v>
      </c>
    </row>
    <row r="111" spans="1:11" x14ac:dyDescent="0.25">
      <c r="A111" t="str">
        <f>"00024074 / 2"</f>
        <v>00024074 / 2</v>
      </c>
      <c r="B111" t="str">
        <f>"13° Salário Anual"</f>
        <v>13° Salário Anual</v>
      </c>
      <c r="C111" t="str">
        <f>"Ana Maria Dias Barbosa"</f>
        <v>Ana Maria Dias Barbosa</v>
      </c>
      <c r="D111" t="str">
        <f>"PROP INVALIDEZ"</f>
        <v>PROP INVALIDEZ</v>
      </c>
      <c r="E111" t="str">
        <f>"Efetivo-Inativos II-RJUSM"</f>
        <v>Efetivo-Inativos II-RJUSM</v>
      </c>
      <c r="F111" t="str">
        <f>"R$ 1.072,63"</f>
        <v>R$ 1.072,63</v>
      </c>
      <c r="G111" t="str">
        <f>"R$ 1.100,00"</f>
        <v>R$ 1.100,00</v>
      </c>
      <c r="H111" t="str">
        <f t="shared" si="7"/>
        <v>R$ 0,00</v>
      </c>
      <c r="I111" t="str">
        <f>"R$ 1.100,00"</f>
        <v>R$ 1.100,00</v>
      </c>
      <c r="J111" t="str">
        <f>"R$ 550,00"</f>
        <v>R$ 550,00</v>
      </c>
      <c r="K111" t="str">
        <f>"R$ 550,00"</f>
        <v>R$ 550,00</v>
      </c>
    </row>
    <row r="112" spans="1:11" x14ac:dyDescent="0.25">
      <c r="A112" t="str">
        <f>"00024074 / 2"</f>
        <v>00024074 / 2</v>
      </c>
      <c r="B112" t="str">
        <f>"Folha Mensal"</f>
        <v>Folha Mensal</v>
      </c>
      <c r="C112" t="str">
        <f>"Ana Maria Dias Barbosa"</f>
        <v>Ana Maria Dias Barbosa</v>
      </c>
      <c r="D112" t="str">
        <f>"PROP INVALIDEZ"</f>
        <v>PROP INVALIDEZ</v>
      </c>
      <c r="E112" t="str">
        <f>"Efetivo-Inativos II-RJUSM"</f>
        <v>Efetivo-Inativos II-RJUSM</v>
      </c>
      <c r="F112" t="str">
        <f>"R$ 1.072,63"</f>
        <v>R$ 1.072,63</v>
      </c>
      <c r="G112" t="str">
        <f>"R$ 1.100,00"</f>
        <v>R$ 1.100,00</v>
      </c>
      <c r="H112" t="str">
        <f t="shared" si="7"/>
        <v>R$ 0,00</v>
      </c>
      <c r="I112" t="str">
        <f>"R$ 1.100,00"</f>
        <v>R$ 1.100,00</v>
      </c>
      <c r="J112" t="str">
        <f>"R$ 0,00"</f>
        <v>R$ 0,00</v>
      </c>
      <c r="K112" t="str">
        <f>"R$ 1.100,00"</f>
        <v>R$ 1.100,00</v>
      </c>
    </row>
    <row r="113" spans="1:11" x14ac:dyDescent="0.25">
      <c r="A113" t="str">
        <f>"00006220 / 1"</f>
        <v>00006220 / 1</v>
      </c>
      <c r="B113" t="str">
        <f>"13° Salário Anual"</f>
        <v>13° Salário Anual</v>
      </c>
      <c r="C113" t="str">
        <f>"Ana Maria do Nascimento"</f>
        <v>Ana Maria do Nascimento</v>
      </c>
      <c r="D113" t="str">
        <f>"PROFESSOR"</f>
        <v>PROFESSOR</v>
      </c>
      <c r="E113" t="str">
        <f>"Efetivo-Inativo I- RJUSM"</f>
        <v>Efetivo-Inativo I- RJUSM</v>
      </c>
      <c r="F113" t="str">
        <f>"R$ 2.071,51"</f>
        <v>R$ 2.071,51</v>
      </c>
      <c r="G113" t="str">
        <f>"R$ 2.589,38"</f>
        <v>R$ 2.589,38</v>
      </c>
      <c r="H113" t="str">
        <f t="shared" si="7"/>
        <v>R$ 0,00</v>
      </c>
      <c r="I113" t="str">
        <f>"R$ 2.589,38"</f>
        <v>R$ 2.589,38</v>
      </c>
      <c r="J113" t="str">
        <f>"R$ 1.346,09"</f>
        <v>R$ 1.346,09</v>
      </c>
      <c r="K113" t="str">
        <f>"R$ 1.243,29"</f>
        <v>R$ 1.243,29</v>
      </c>
    </row>
    <row r="114" spans="1:11" x14ac:dyDescent="0.25">
      <c r="A114" t="str">
        <f>"00006220 / 1"</f>
        <v>00006220 / 1</v>
      </c>
      <c r="B114" t="str">
        <f>"Folha Mensal"</f>
        <v>Folha Mensal</v>
      </c>
      <c r="C114" t="str">
        <f>"Ana Maria do Nascimento"</f>
        <v>Ana Maria do Nascimento</v>
      </c>
      <c r="D114" t="str">
        <f>"PROFESSOR"</f>
        <v>PROFESSOR</v>
      </c>
      <c r="E114" t="str">
        <f>"Efetivo-Inativo I- RJUSM"</f>
        <v>Efetivo-Inativo I- RJUSM</v>
      </c>
      <c r="F114" t="str">
        <f>"R$ 2.071,51"</f>
        <v>R$ 2.071,51</v>
      </c>
      <c r="G114" t="str">
        <f>"R$ 2.589,38"</f>
        <v>R$ 2.589,38</v>
      </c>
      <c r="H114" t="str">
        <f t="shared" si="7"/>
        <v>R$ 0,00</v>
      </c>
      <c r="I114" t="str">
        <f>"R$ 2.589,38"</f>
        <v>R$ 2.589,38</v>
      </c>
      <c r="J114" t="str">
        <f>"R$ 781,86"</f>
        <v>R$ 781,86</v>
      </c>
      <c r="K114" t="str">
        <f>"R$ 1.807,52"</f>
        <v>R$ 1.807,52</v>
      </c>
    </row>
    <row r="115" spans="1:11" x14ac:dyDescent="0.25">
      <c r="A115" t="str">
        <f>"00009040 / 1"</f>
        <v>00009040 / 1</v>
      </c>
      <c r="B115" t="str">
        <f>"13° Salário Anual"</f>
        <v>13° Salário Anual</v>
      </c>
      <c r="C115" t="str">
        <f>"Ana Maria Gomes da Silva"</f>
        <v>Ana Maria Gomes da Silva</v>
      </c>
      <c r="D115" t="str">
        <f>"INT TEMP CONTRIBUICAO"</f>
        <v>INT TEMP CONTRIBUICAO</v>
      </c>
      <c r="E115" t="str">
        <f>"Efetivo-Inativos II-RJUSM"</f>
        <v>Efetivo-Inativos II-RJUSM</v>
      </c>
      <c r="F115" t="str">
        <f>"R$ 1.100,00"</f>
        <v>R$ 1.100,00</v>
      </c>
      <c r="G115" t="str">
        <f>"R$ 1.430,00"</f>
        <v>R$ 1.430,00</v>
      </c>
      <c r="H115" t="str">
        <f t="shared" si="7"/>
        <v>R$ 0,00</v>
      </c>
      <c r="I115" t="str">
        <f>"R$ 1.430,00"</f>
        <v>R$ 1.430,00</v>
      </c>
      <c r="J115" t="str">
        <f>"R$ 715,00"</f>
        <v>R$ 715,00</v>
      </c>
      <c r="K115" t="str">
        <f>"R$ 715,00"</f>
        <v>R$ 715,00</v>
      </c>
    </row>
    <row r="116" spans="1:11" x14ac:dyDescent="0.25">
      <c r="A116" t="str">
        <f>"00009040 / 1"</f>
        <v>00009040 / 1</v>
      </c>
      <c r="B116" t="str">
        <f>"Folha Mensal"</f>
        <v>Folha Mensal</v>
      </c>
      <c r="C116" t="str">
        <f>"Ana Maria Gomes da Silva"</f>
        <v>Ana Maria Gomes da Silva</v>
      </c>
      <c r="D116" t="str">
        <f>"INT TEMP CONTRIBUICAO"</f>
        <v>INT TEMP CONTRIBUICAO</v>
      </c>
      <c r="E116" t="str">
        <f>"Efetivo-Inativos II-RJUSM"</f>
        <v>Efetivo-Inativos II-RJUSM</v>
      </c>
      <c r="F116" t="str">
        <f>"R$ 1.100,00"</f>
        <v>R$ 1.100,00</v>
      </c>
      <c r="G116" t="str">
        <f>"R$ 1.430,00"</f>
        <v>R$ 1.430,00</v>
      </c>
      <c r="H116" t="str">
        <f t="shared" si="7"/>
        <v>R$ 0,00</v>
      </c>
      <c r="I116" t="str">
        <f>"R$ 1.430,00"</f>
        <v>R$ 1.430,00</v>
      </c>
      <c r="J116" t="str">
        <f>"R$ 211,19"</f>
        <v>R$ 211,19</v>
      </c>
      <c r="K116" t="str">
        <f>"R$ 1.218,81"</f>
        <v>R$ 1.218,81</v>
      </c>
    </row>
    <row r="117" spans="1:11" x14ac:dyDescent="0.25">
      <c r="A117" t="str">
        <f>"00031119 / 1"</f>
        <v>00031119 / 1</v>
      </c>
      <c r="B117" t="str">
        <f>"13° Salário Anual"</f>
        <v>13° Salário Anual</v>
      </c>
      <c r="C117" t="str">
        <f>"Ana Maria Monteiro Moura"</f>
        <v>Ana Maria Monteiro Moura</v>
      </c>
      <c r="D117" t="str">
        <f>"PROP IDADE"</f>
        <v>PROP IDADE</v>
      </c>
      <c r="E117" t="str">
        <f>"Efetivo-Inativo I- RJUSM"</f>
        <v>Efetivo-Inativo I- RJUSM</v>
      </c>
      <c r="F117" t="str">
        <f>"R$ 643,65"</f>
        <v>R$ 643,65</v>
      </c>
      <c r="G117" t="str">
        <f>"R$ 1.100,00"</f>
        <v>R$ 1.100,00</v>
      </c>
      <c r="H117" t="str">
        <f t="shared" si="7"/>
        <v>R$ 0,00</v>
      </c>
      <c r="I117" t="str">
        <f>"R$ 1.100,00"</f>
        <v>R$ 1.100,00</v>
      </c>
      <c r="J117" t="str">
        <f>"R$ 550,00"</f>
        <v>R$ 550,00</v>
      </c>
      <c r="K117" t="str">
        <f>"R$ 550,00"</f>
        <v>R$ 550,00</v>
      </c>
    </row>
    <row r="118" spans="1:11" x14ac:dyDescent="0.25">
      <c r="A118" t="str">
        <f>"00031119 / 1"</f>
        <v>00031119 / 1</v>
      </c>
      <c r="B118" t="str">
        <f>"Folha Mensal"</f>
        <v>Folha Mensal</v>
      </c>
      <c r="C118" t="str">
        <f>"Ana Maria Monteiro Moura"</f>
        <v>Ana Maria Monteiro Moura</v>
      </c>
      <c r="D118" t="str">
        <f>"PROP IDADE"</f>
        <v>PROP IDADE</v>
      </c>
      <c r="E118" t="str">
        <f>"Efetivo-Inativo I- RJUSM"</f>
        <v>Efetivo-Inativo I- RJUSM</v>
      </c>
      <c r="F118" t="str">
        <f>"R$ 643,65"</f>
        <v>R$ 643,65</v>
      </c>
      <c r="G118" t="str">
        <f>"R$ 1.100,00"</f>
        <v>R$ 1.100,00</v>
      </c>
      <c r="H118" t="str">
        <f t="shared" si="7"/>
        <v>R$ 0,00</v>
      </c>
      <c r="I118" t="str">
        <f>"R$ 1.100,00"</f>
        <v>R$ 1.100,00</v>
      </c>
      <c r="J118" t="str">
        <f>"R$ 0,00"</f>
        <v>R$ 0,00</v>
      </c>
      <c r="K118" t="str">
        <f>"R$ 1.100,00"</f>
        <v>R$ 1.100,00</v>
      </c>
    </row>
    <row r="119" spans="1:11" x14ac:dyDescent="0.25">
      <c r="A119" t="str">
        <f>"03641481 / 1"</f>
        <v>03641481 / 1</v>
      </c>
      <c r="B119" t="str">
        <f>"13° Salário Anual"</f>
        <v>13° Salário Anual</v>
      </c>
      <c r="C119" t="str">
        <f>"Ana Maria Moraes da Gama"</f>
        <v>Ana Maria Moraes da Gama</v>
      </c>
      <c r="D119" t="str">
        <f>"INATIVOS II"</f>
        <v>INATIVOS II</v>
      </c>
      <c r="E119" t="str">
        <f>"Efetivo-Inativos II-RJUSM"</f>
        <v>Efetivo-Inativos II-RJUSM</v>
      </c>
      <c r="F119" t="str">
        <f>"R$ 1.100,00"</f>
        <v>R$ 1.100,00</v>
      </c>
      <c r="G119" t="str">
        <f>"R$ 458,33"</f>
        <v>R$ 458,33</v>
      </c>
      <c r="H119" t="str">
        <f t="shared" si="7"/>
        <v>R$ 0,00</v>
      </c>
      <c r="I119" t="str">
        <f>"R$ 458,33"</f>
        <v>R$ 458,33</v>
      </c>
      <c r="J119" t="str">
        <f>"R$ 229,16"</f>
        <v>R$ 229,16</v>
      </c>
      <c r="K119" t="str">
        <f>"R$ 229,17"</f>
        <v>R$ 229,17</v>
      </c>
    </row>
    <row r="120" spans="1:11" x14ac:dyDescent="0.25">
      <c r="A120" t="str">
        <f>"03641481 / 1"</f>
        <v>03641481 / 1</v>
      </c>
      <c r="B120" t="str">
        <f>"Folha Mensal"</f>
        <v>Folha Mensal</v>
      </c>
      <c r="C120" t="str">
        <f>"Ana Maria Moraes da Gama"</f>
        <v>Ana Maria Moraes da Gama</v>
      </c>
      <c r="D120" t="str">
        <f>"INATIVOS II"</f>
        <v>INATIVOS II</v>
      </c>
      <c r="E120" t="str">
        <f>"Efetivo-Inativos II-RJUSM"</f>
        <v>Efetivo-Inativos II-RJUSM</v>
      </c>
      <c r="F120" t="str">
        <f>"R$ 1.100,00"</f>
        <v>R$ 1.100,00</v>
      </c>
      <c r="G120" t="str">
        <f>"R$ 1.100,00"</f>
        <v>R$ 1.100,00</v>
      </c>
      <c r="H120" t="str">
        <f t="shared" si="7"/>
        <v>R$ 0,00</v>
      </c>
      <c r="I120" t="str">
        <f>"R$ 1.100,00"</f>
        <v>R$ 1.100,00</v>
      </c>
      <c r="J120" t="str">
        <f>"R$ 0,00"</f>
        <v>R$ 0,00</v>
      </c>
      <c r="K120" t="str">
        <f>"R$ 1.100,00"</f>
        <v>R$ 1.100,00</v>
      </c>
    </row>
    <row r="121" spans="1:11" x14ac:dyDescent="0.25">
      <c r="A121" t="str">
        <f>"00022390 / 1"</f>
        <v>00022390 / 1</v>
      </c>
      <c r="B121" t="str">
        <f>"13° Salário Anual"</f>
        <v>13° Salário Anual</v>
      </c>
      <c r="C121" t="str">
        <f>"Ana Maria Sampaio da Silva"</f>
        <v>Ana Maria Sampaio da Silva</v>
      </c>
      <c r="D121" t="str">
        <f>"PROFESSOR"</f>
        <v>PROFESSOR</v>
      </c>
      <c r="E121" t="str">
        <f>"Efetivo-Inativo I- RJUSM"</f>
        <v>Efetivo-Inativo I- RJUSM</v>
      </c>
      <c r="F121" t="str">
        <f>"R$ 1.593,46"</f>
        <v>R$ 1.593,46</v>
      </c>
      <c r="G121" t="str">
        <f>"R$ 1.832,47"</f>
        <v>R$ 1.832,47</v>
      </c>
      <c r="H121" t="str">
        <f t="shared" si="7"/>
        <v>R$ 0,00</v>
      </c>
      <c r="I121" t="str">
        <f>"R$ 1.832,47"</f>
        <v>R$ 1.832,47</v>
      </c>
      <c r="J121" t="str">
        <f>"R$ 916,23"</f>
        <v>R$ 916,23</v>
      </c>
      <c r="K121" t="str">
        <f>"R$ 916,24"</f>
        <v>R$ 916,24</v>
      </c>
    </row>
    <row r="122" spans="1:11" x14ac:dyDescent="0.25">
      <c r="A122" t="str">
        <f>"00022390 / 1"</f>
        <v>00022390 / 1</v>
      </c>
      <c r="B122" t="str">
        <f>"Folha Mensal"</f>
        <v>Folha Mensal</v>
      </c>
      <c r="C122" t="str">
        <f>"Ana Maria Sampaio da Silva"</f>
        <v>Ana Maria Sampaio da Silva</v>
      </c>
      <c r="D122" t="str">
        <f>"PROFESSOR"</f>
        <v>PROFESSOR</v>
      </c>
      <c r="E122" t="str">
        <f>"Efetivo-Inativo I- RJUSM"</f>
        <v>Efetivo-Inativo I- RJUSM</v>
      </c>
      <c r="F122" t="str">
        <f>"R$ 1.593,46"</f>
        <v>R$ 1.593,46</v>
      </c>
      <c r="G122" t="str">
        <f>"R$ 1.832,47"</f>
        <v>R$ 1.832,47</v>
      </c>
      <c r="H122" t="str">
        <f t="shared" si="7"/>
        <v>R$ 0,00</v>
      </c>
      <c r="I122" t="str">
        <f>"R$ 1.832,47"</f>
        <v>R$ 1.832,47</v>
      </c>
      <c r="J122" t="str">
        <f>"R$ 0,00"</f>
        <v>R$ 0,00</v>
      </c>
      <c r="K122" t="str">
        <f>"R$ 1.832,47"</f>
        <v>R$ 1.832,47</v>
      </c>
    </row>
    <row r="123" spans="1:11" x14ac:dyDescent="0.25">
      <c r="A123" t="str">
        <f>"03640906 / 1"</f>
        <v>03640906 / 1</v>
      </c>
      <c r="B123" t="str">
        <f>"13° Salário Anual"</f>
        <v>13° Salário Anual</v>
      </c>
      <c r="C123" t="str">
        <f>"Ana Maria Silva Morais"</f>
        <v>Ana Maria Silva Morais</v>
      </c>
      <c r="D123" t="str">
        <f>"PENSIONISTA"</f>
        <v>PENSIONISTA</v>
      </c>
      <c r="E123" t="str">
        <f>"Pensionista"</f>
        <v>Pensionista</v>
      </c>
      <c r="F123" t="str">
        <f>"R$ 1.550,00"</f>
        <v>R$ 1.550,00</v>
      </c>
      <c r="G123" t="str">
        <f>"R$ 1.550,00"</f>
        <v>R$ 1.550,00</v>
      </c>
      <c r="H123" t="str">
        <f t="shared" si="7"/>
        <v>R$ 0,00</v>
      </c>
      <c r="I123" t="str">
        <f>"R$ 1.550,00"</f>
        <v>R$ 1.550,00</v>
      </c>
      <c r="J123" t="str">
        <f>"R$ 645,83"</f>
        <v>R$ 645,83</v>
      </c>
      <c r="K123" t="str">
        <f>"R$ 904,17"</f>
        <v>R$ 904,17</v>
      </c>
    </row>
    <row r="124" spans="1:11" x14ac:dyDescent="0.25">
      <c r="A124" t="str">
        <f>"03640906 / 1"</f>
        <v>03640906 / 1</v>
      </c>
      <c r="B124" t="str">
        <f>"Folha Mensal"</f>
        <v>Folha Mensal</v>
      </c>
      <c r="C124" t="str">
        <f>"Ana Maria Silva Morais"</f>
        <v>Ana Maria Silva Morais</v>
      </c>
      <c r="D124" t="str">
        <f>"PENSIONISTA"</f>
        <v>PENSIONISTA</v>
      </c>
      <c r="E124" t="str">
        <f>"Pensionista"</f>
        <v>Pensionista</v>
      </c>
      <c r="F124" t="str">
        <f>"R$ 1.550,00"</f>
        <v>R$ 1.550,00</v>
      </c>
      <c r="G124" t="str">
        <f>"R$ 1.550,00"</f>
        <v>R$ 1.550,00</v>
      </c>
      <c r="H124" t="str">
        <f t="shared" si="7"/>
        <v>R$ 0,00</v>
      </c>
      <c r="I124" t="str">
        <f>"R$ 1.550,00"</f>
        <v>R$ 1.550,00</v>
      </c>
      <c r="J124" t="str">
        <f>"R$ 0,00"</f>
        <v>R$ 0,00</v>
      </c>
      <c r="K124" t="str">
        <f>"R$ 1.550,00"</f>
        <v>R$ 1.550,00</v>
      </c>
    </row>
    <row r="125" spans="1:11" x14ac:dyDescent="0.25">
      <c r="A125" t="str">
        <f>"00012041 / 1"</f>
        <v>00012041 / 1</v>
      </c>
      <c r="B125" t="str">
        <f>"13° Salário Anual"</f>
        <v>13° Salário Anual</v>
      </c>
      <c r="C125" t="str">
        <f>"Ana Maria Silva Rosa"</f>
        <v>Ana Maria Silva Rosa</v>
      </c>
      <c r="D125" t="str">
        <f>"TECNICO MUNICIPAL"</f>
        <v>TECNICO MUNICIPAL</v>
      </c>
      <c r="E125" t="str">
        <f>"Efetivo-Inativos II-RJUSM"</f>
        <v>Efetivo-Inativos II-RJUSM</v>
      </c>
      <c r="F125" t="str">
        <f>"R$ 1.028,75"</f>
        <v>R$ 1.028,75</v>
      </c>
      <c r="G125" t="str">
        <f>"R$ 1.337,37"</f>
        <v>R$ 1.337,37</v>
      </c>
      <c r="H125" t="str">
        <f t="shared" si="7"/>
        <v>R$ 0,00</v>
      </c>
      <c r="I125" t="str">
        <f>"R$ 1.337,37"</f>
        <v>R$ 1.337,37</v>
      </c>
      <c r="J125" t="str">
        <f>"R$ 668,68"</f>
        <v>R$ 668,68</v>
      </c>
      <c r="K125" t="str">
        <f>"R$ 668,69"</f>
        <v>R$ 668,69</v>
      </c>
    </row>
    <row r="126" spans="1:11" x14ac:dyDescent="0.25">
      <c r="A126" t="str">
        <f>"00012041 / 1"</f>
        <v>00012041 / 1</v>
      </c>
      <c r="B126" t="str">
        <f>"Folha Mensal"</f>
        <v>Folha Mensal</v>
      </c>
      <c r="C126" t="str">
        <f>"Ana Maria Silva Rosa"</f>
        <v>Ana Maria Silva Rosa</v>
      </c>
      <c r="D126" t="str">
        <f>"TECNICO MUNICIPAL"</f>
        <v>TECNICO MUNICIPAL</v>
      </c>
      <c r="E126" t="str">
        <f>"Efetivo-Inativos II-RJUSM"</f>
        <v>Efetivo-Inativos II-RJUSM</v>
      </c>
      <c r="F126" t="str">
        <f>"R$ 1.028,75"</f>
        <v>R$ 1.028,75</v>
      </c>
      <c r="G126" t="str">
        <f>"R$ 1.337,37"</f>
        <v>R$ 1.337,37</v>
      </c>
      <c r="H126" t="str">
        <f t="shared" si="7"/>
        <v>R$ 0,00</v>
      </c>
      <c r="I126" t="str">
        <f>"R$ 1.337,37"</f>
        <v>R$ 1.337,37</v>
      </c>
      <c r="J126" t="str">
        <f>"R$ 0,00"</f>
        <v>R$ 0,00</v>
      </c>
      <c r="K126" t="str">
        <f>"R$ 1.337,37"</f>
        <v>R$ 1.337,37</v>
      </c>
    </row>
    <row r="127" spans="1:11" x14ac:dyDescent="0.25">
      <c r="A127" t="str">
        <f>"00051357 / 2"</f>
        <v>00051357 / 2</v>
      </c>
      <c r="B127" t="str">
        <f>"13° Salário Anual"</f>
        <v>13° Salário Anual</v>
      </c>
      <c r="C127" t="str">
        <f>"Ana Maria Trindade Tavares Campos"</f>
        <v>Ana Maria Trindade Tavares Campos</v>
      </c>
      <c r="D127" t="str">
        <f>"PROFESSOR NIVEL III"</f>
        <v>PROFESSOR NIVEL III</v>
      </c>
      <c r="E127" t="str">
        <f>"Efetivo-Inativos II-RJUSM"</f>
        <v>Efetivo-Inativos II-RJUSM</v>
      </c>
      <c r="F127" t="str">
        <f>"R$ 2.708,90"</f>
        <v>R$ 2.708,90</v>
      </c>
      <c r="G127" t="str">
        <f>"R$ 3.250,68"</f>
        <v>R$ 3.250,68</v>
      </c>
      <c r="H127" t="str">
        <f t="shared" si="7"/>
        <v>R$ 0,00</v>
      </c>
      <c r="I127" t="str">
        <f>"R$ 3.250,68"</f>
        <v>R$ 3.250,68</v>
      </c>
      <c r="J127" t="str">
        <f>"R$ 1.758,14"</f>
        <v>R$ 1.758,14</v>
      </c>
      <c r="K127" t="str">
        <f>"R$ 1.492,54"</f>
        <v>R$ 1.492,54</v>
      </c>
    </row>
    <row r="128" spans="1:11" x14ac:dyDescent="0.25">
      <c r="A128" t="str">
        <f>"00051357 / 2"</f>
        <v>00051357 / 2</v>
      </c>
      <c r="B128" t="str">
        <f>"Folha Mensal"</f>
        <v>Folha Mensal</v>
      </c>
      <c r="C128" t="str">
        <f>"Ana Maria Trindade Tavares Campos"</f>
        <v>Ana Maria Trindade Tavares Campos</v>
      </c>
      <c r="D128" t="str">
        <f>"PROFESSOR NIVEL III"</f>
        <v>PROFESSOR NIVEL III</v>
      </c>
      <c r="E128" t="str">
        <f>"Efetivo-Inativos II-RJUSM"</f>
        <v>Efetivo-Inativos II-RJUSM</v>
      </c>
      <c r="F128" t="str">
        <f>"R$ 2.708,90"</f>
        <v>R$ 2.708,90</v>
      </c>
      <c r="G128" t="str">
        <f>"R$ 3.250,68"</f>
        <v>R$ 3.250,68</v>
      </c>
      <c r="H128" t="str">
        <f t="shared" ref="H128:H156" si="9">"R$ 0,00"</f>
        <v>R$ 0,00</v>
      </c>
      <c r="I128" t="str">
        <f>"R$ 3.250,68"</f>
        <v>R$ 3.250,68</v>
      </c>
      <c r="J128" t="str">
        <f>"R$ 132,80"</f>
        <v>R$ 132,80</v>
      </c>
      <c r="K128" t="str">
        <f>"R$ 3.117,88"</f>
        <v>R$ 3.117,88</v>
      </c>
    </row>
    <row r="129" spans="1:11" x14ac:dyDescent="0.25">
      <c r="A129" t="str">
        <f>"00014818 / 1"</f>
        <v>00014818 / 1</v>
      </c>
      <c r="B129" t="str">
        <f>"13° Salário Anual"</f>
        <v>13° Salário Anual</v>
      </c>
      <c r="C129" t="str">
        <f>"Ana Moraes Xavier"</f>
        <v>Ana Moraes Xavier</v>
      </c>
      <c r="D129" t="str">
        <f>"PROP IDADE"</f>
        <v>PROP IDADE</v>
      </c>
      <c r="E129" t="str">
        <f>"Efetivo-Inativo I- RJUSM"</f>
        <v>Efetivo-Inativo I- RJUSM</v>
      </c>
      <c r="F129" t="str">
        <f>"R$ 1.100,00"</f>
        <v>R$ 1.100,00</v>
      </c>
      <c r="G129" t="str">
        <f>"R$ 1.100,00"</f>
        <v>R$ 1.100,00</v>
      </c>
      <c r="H129" t="str">
        <f t="shared" si="9"/>
        <v>R$ 0,00</v>
      </c>
      <c r="I129" t="str">
        <f>"R$ 1.100,00"</f>
        <v>R$ 1.100,00</v>
      </c>
      <c r="J129" t="str">
        <f>"R$ 550,00"</f>
        <v>R$ 550,00</v>
      </c>
      <c r="K129" t="str">
        <f>"R$ 550,00"</f>
        <v>R$ 550,00</v>
      </c>
    </row>
    <row r="130" spans="1:11" x14ac:dyDescent="0.25">
      <c r="A130" t="str">
        <f>"00014818 / 1"</f>
        <v>00014818 / 1</v>
      </c>
      <c r="B130" t="str">
        <f>"Folha Mensal"</f>
        <v>Folha Mensal</v>
      </c>
      <c r="C130" t="str">
        <f>"Ana Moraes Xavier"</f>
        <v>Ana Moraes Xavier</v>
      </c>
      <c r="D130" t="str">
        <f>"PROP IDADE"</f>
        <v>PROP IDADE</v>
      </c>
      <c r="E130" t="str">
        <f>"Efetivo-Inativo I- RJUSM"</f>
        <v>Efetivo-Inativo I- RJUSM</v>
      </c>
      <c r="F130" t="str">
        <f>"R$ 1.100,00"</f>
        <v>R$ 1.100,00</v>
      </c>
      <c r="G130" t="str">
        <f>"R$ 1.100,00"</f>
        <v>R$ 1.100,00</v>
      </c>
      <c r="H130" t="str">
        <f t="shared" si="9"/>
        <v>R$ 0,00</v>
      </c>
      <c r="I130" t="str">
        <f>"R$ 1.100,00"</f>
        <v>R$ 1.100,00</v>
      </c>
      <c r="J130" t="str">
        <f>"R$ 384,10"</f>
        <v>R$ 384,10</v>
      </c>
      <c r="K130" t="str">
        <f>"R$ 715,90"</f>
        <v>R$ 715,90</v>
      </c>
    </row>
    <row r="131" spans="1:11" x14ac:dyDescent="0.25">
      <c r="A131" t="str">
        <f>"00019038 / 2"</f>
        <v>00019038 / 2</v>
      </c>
      <c r="B131" t="str">
        <f>"13° Salário Anual"</f>
        <v>13° Salário Anual</v>
      </c>
      <c r="C131" t="str">
        <f>"Ana Nilma Bastos"</f>
        <v>Ana Nilma Bastos</v>
      </c>
      <c r="D131" t="str">
        <f>"PROP INVALIDEZ"</f>
        <v>PROP INVALIDEZ</v>
      </c>
      <c r="E131" t="str">
        <f>"Efetivo-Inativo I- RJUSM"</f>
        <v>Efetivo-Inativo I- RJUSM</v>
      </c>
      <c r="F131" t="str">
        <f>"R$ 842,58"</f>
        <v>R$ 842,58</v>
      </c>
      <c r="G131" t="str">
        <f>"R$ 1.100,00"</f>
        <v>R$ 1.100,00</v>
      </c>
      <c r="H131" t="str">
        <f t="shared" si="9"/>
        <v>R$ 0,00</v>
      </c>
      <c r="I131" t="str">
        <f>"R$ 1.100,00"</f>
        <v>R$ 1.100,00</v>
      </c>
      <c r="J131" t="str">
        <f>"R$ 550,00"</f>
        <v>R$ 550,00</v>
      </c>
      <c r="K131" t="str">
        <f>"R$ 550,00"</f>
        <v>R$ 550,00</v>
      </c>
    </row>
    <row r="132" spans="1:11" x14ac:dyDescent="0.25">
      <c r="A132" t="str">
        <f>"00019038 / 2"</f>
        <v>00019038 / 2</v>
      </c>
      <c r="B132" t="str">
        <f>"Folha Mensal"</f>
        <v>Folha Mensal</v>
      </c>
      <c r="C132" t="str">
        <f>"Ana Nilma Bastos"</f>
        <v>Ana Nilma Bastos</v>
      </c>
      <c r="D132" t="str">
        <f>"PROP INVALIDEZ"</f>
        <v>PROP INVALIDEZ</v>
      </c>
      <c r="E132" t="str">
        <f>"Efetivo-Inativo I- RJUSM"</f>
        <v>Efetivo-Inativo I- RJUSM</v>
      </c>
      <c r="F132" t="str">
        <f>"R$ 842,58"</f>
        <v>R$ 842,58</v>
      </c>
      <c r="G132" t="str">
        <f>"R$ 1.100,00"</f>
        <v>R$ 1.100,00</v>
      </c>
      <c r="H132" t="str">
        <f t="shared" si="9"/>
        <v>R$ 0,00</v>
      </c>
      <c r="I132" t="str">
        <f>"R$ 1.100,00"</f>
        <v>R$ 1.100,00</v>
      </c>
      <c r="J132" t="str">
        <f>"R$ 0,00"</f>
        <v>R$ 0,00</v>
      </c>
      <c r="K132" t="str">
        <f>"R$ 1.100,00"</f>
        <v>R$ 1.100,00</v>
      </c>
    </row>
    <row r="133" spans="1:11" x14ac:dyDescent="0.25">
      <c r="A133" t="str">
        <f>"03641767 / 1"</f>
        <v>03641767 / 1</v>
      </c>
      <c r="B133" t="str">
        <f>"Rescisão"</f>
        <v>Rescisão</v>
      </c>
      <c r="C133" t="str">
        <f>"Ana Paula Piedade Barbosa"</f>
        <v>Ana Paula Piedade Barbosa</v>
      </c>
      <c r="D133" t="str">
        <f>"DAS 08"</f>
        <v>DAS 08</v>
      </c>
      <c r="E133" t="str">
        <f>"Comissionado"</f>
        <v>Comissionado</v>
      </c>
      <c r="F133" t="str">
        <f>"R$ 0,00"</f>
        <v>R$ 0,00</v>
      </c>
      <c r="G133" t="str">
        <f>"R$ 2.449,99"</f>
        <v>R$ 2.449,99</v>
      </c>
      <c r="H133" t="str">
        <f t="shared" si="9"/>
        <v>R$ 0,00</v>
      </c>
      <c r="I133" t="str">
        <f>"R$ 2.449,99"</f>
        <v>R$ 2.449,99</v>
      </c>
      <c r="J133" t="str">
        <f>"R$ 778,75"</f>
        <v>R$ 778,75</v>
      </c>
      <c r="K133" t="str">
        <f>"R$ 1.671,24"</f>
        <v>R$ 1.671,24</v>
      </c>
    </row>
    <row r="134" spans="1:11" x14ac:dyDescent="0.25">
      <c r="A134" t="str">
        <f>"00006408 / 1"</f>
        <v>00006408 / 1</v>
      </c>
      <c r="B134" t="str">
        <f>"13° Salário Anual"</f>
        <v>13° Salário Anual</v>
      </c>
      <c r="C134" t="str">
        <f>"Ana Vieira da Silva"</f>
        <v>Ana Vieira da Silva</v>
      </c>
      <c r="D134" t="str">
        <f>"PROFESSOR"</f>
        <v>PROFESSOR</v>
      </c>
      <c r="E134" t="str">
        <f>"Efetivo-Inativo I- RJUSM"</f>
        <v>Efetivo-Inativo I- RJUSM</v>
      </c>
      <c r="F134" t="str">
        <f>"R$ 2.071,51"</f>
        <v>R$ 2.071,51</v>
      </c>
      <c r="G134" t="str">
        <f>"R$ 2.589,38"</f>
        <v>R$ 2.589,38</v>
      </c>
      <c r="H134" t="str">
        <f t="shared" si="9"/>
        <v>R$ 0,00</v>
      </c>
      <c r="I134" t="str">
        <f>"R$ 2.589,38"</f>
        <v>R$ 2.589,38</v>
      </c>
      <c r="J134" t="str">
        <f>"R$ 1.294,69"</f>
        <v>R$ 1.294,69</v>
      </c>
      <c r="K134" t="str">
        <f>"R$ 1.294,69"</f>
        <v>R$ 1.294,69</v>
      </c>
    </row>
    <row r="135" spans="1:11" x14ac:dyDescent="0.25">
      <c r="A135" t="str">
        <f>"00006408 / 1"</f>
        <v>00006408 / 1</v>
      </c>
      <c r="B135" t="str">
        <f>"Folha Mensal"</f>
        <v>Folha Mensal</v>
      </c>
      <c r="C135" t="str">
        <f>"Ana Vieira da Silva"</f>
        <v>Ana Vieira da Silva</v>
      </c>
      <c r="D135" t="str">
        <f>"PROFESSOR"</f>
        <v>PROFESSOR</v>
      </c>
      <c r="E135" t="str">
        <f>"Efetivo-Inativo I- RJUSM"</f>
        <v>Efetivo-Inativo I- RJUSM</v>
      </c>
      <c r="F135" t="str">
        <f>"R$ 2.071,51"</f>
        <v>R$ 2.071,51</v>
      </c>
      <c r="G135" t="str">
        <f>"R$ 2.589,38"</f>
        <v>R$ 2.589,38</v>
      </c>
      <c r="H135" t="str">
        <f t="shared" si="9"/>
        <v>R$ 0,00</v>
      </c>
      <c r="I135" t="str">
        <f>"R$ 2.589,38"</f>
        <v>R$ 2.589,38</v>
      </c>
      <c r="J135" t="str">
        <f>"R$ 0,00"</f>
        <v>R$ 0,00</v>
      </c>
      <c r="K135" t="str">
        <f>"R$ 2.589,38"</f>
        <v>R$ 2.589,38</v>
      </c>
    </row>
    <row r="136" spans="1:11" x14ac:dyDescent="0.25">
      <c r="A136" t="str">
        <f>"00023078 / 2"</f>
        <v>00023078 / 2</v>
      </c>
      <c r="B136" t="str">
        <f>"13° Salário Anual"</f>
        <v>13° Salário Anual</v>
      </c>
      <c r="C136" t="str">
        <f>"Anaide Figueredo Bandeira"</f>
        <v>Anaide Figueredo Bandeira</v>
      </c>
      <c r="D136" t="str">
        <f>"PROP INVALIDEZ"</f>
        <v>PROP INVALIDEZ</v>
      </c>
      <c r="E136" t="str">
        <f>"Efetivo-Inativos II-RJUSM"</f>
        <v>Efetivo-Inativos II-RJUSM</v>
      </c>
      <c r="F136" t="str">
        <f>"R$ 921,70"</f>
        <v>R$ 921,70</v>
      </c>
      <c r="G136" t="str">
        <f>"R$ 1.198,21"</f>
        <v>R$ 1.198,21</v>
      </c>
      <c r="H136" t="str">
        <f t="shared" si="9"/>
        <v>R$ 0,00</v>
      </c>
      <c r="I136" t="str">
        <f>"R$ 1.198,21"</f>
        <v>R$ 1.198,21</v>
      </c>
      <c r="J136" t="str">
        <f>"R$ 599,10"</f>
        <v>R$ 599,10</v>
      </c>
      <c r="K136" t="str">
        <f>"R$ 599,11"</f>
        <v>R$ 599,11</v>
      </c>
    </row>
    <row r="137" spans="1:11" x14ac:dyDescent="0.25">
      <c r="A137" t="str">
        <f>"00023078 / 2"</f>
        <v>00023078 / 2</v>
      </c>
      <c r="B137" t="str">
        <f>"Folha Mensal"</f>
        <v>Folha Mensal</v>
      </c>
      <c r="C137" t="str">
        <f>"Anaide Figueredo Bandeira"</f>
        <v>Anaide Figueredo Bandeira</v>
      </c>
      <c r="D137" t="str">
        <f>"PROP INVALIDEZ"</f>
        <v>PROP INVALIDEZ</v>
      </c>
      <c r="E137" t="str">
        <f>"Efetivo-Inativos II-RJUSM"</f>
        <v>Efetivo-Inativos II-RJUSM</v>
      </c>
      <c r="F137" t="str">
        <f>"R$ 921,70"</f>
        <v>R$ 921,70</v>
      </c>
      <c r="G137" t="str">
        <f>"R$ 1.198,21"</f>
        <v>R$ 1.198,21</v>
      </c>
      <c r="H137" t="str">
        <f t="shared" si="9"/>
        <v>R$ 0,00</v>
      </c>
      <c r="I137" t="str">
        <f>"R$ 1.198,21"</f>
        <v>R$ 1.198,21</v>
      </c>
      <c r="J137" t="str">
        <f>"R$ 359,29"</f>
        <v>R$ 359,29</v>
      </c>
      <c r="K137" t="str">
        <f>"R$ 838,92"</f>
        <v>R$ 838,92</v>
      </c>
    </row>
    <row r="138" spans="1:11" x14ac:dyDescent="0.25">
      <c r="A138" t="str">
        <f>"00026352 / 1"</f>
        <v>00026352 / 1</v>
      </c>
      <c r="B138" t="str">
        <f>"13° Salário Anual"</f>
        <v>13° Salário Anual</v>
      </c>
      <c r="C138" t="str">
        <f>"Analeuda Vieira Pinheiro"</f>
        <v>Analeuda Vieira Pinheiro</v>
      </c>
      <c r="D138" t="str">
        <f>"PROFESSOR"</f>
        <v>PROFESSOR</v>
      </c>
      <c r="E138" t="str">
        <f>"Efetivo-Inativo I- RJUSM"</f>
        <v>Efetivo-Inativo I- RJUSM</v>
      </c>
      <c r="F138" t="str">
        <f>"R$ 2.790,17"</f>
        <v>R$ 2.790,17</v>
      </c>
      <c r="G138" t="str">
        <f>"R$ 3.487,71"</f>
        <v>R$ 3.487,71</v>
      </c>
      <c r="H138" t="str">
        <f t="shared" si="9"/>
        <v>R$ 0,00</v>
      </c>
      <c r="I138" t="str">
        <f>"R$ 3.487,71"</f>
        <v>R$ 3.487,71</v>
      </c>
      <c r="J138" t="str">
        <f>"R$ 1.912,20"</f>
        <v>R$ 1.912,20</v>
      </c>
      <c r="K138" t="str">
        <f>"R$ 1.575,51"</f>
        <v>R$ 1.575,51</v>
      </c>
    </row>
    <row r="139" spans="1:11" x14ac:dyDescent="0.25">
      <c r="A139" t="str">
        <f>"00026352 / 1"</f>
        <v>00026352 / 1</v>
      </c>
      <c r="B139" t="str">
        <f>"Folha Mensal"</f>
        <v>Folha Mensal</v>
      </c>
      <c r="C139" t="str">
        <f>"Analeuda Vieira Pinheiro"</f>
        <v>Analeuda Vieira Pinheiro</v>
      </c>
      <c r="D139" t="str">
        <f>"PROFESSOR"</f>
        <v>PROFESSOR</v>
      </c>
      <c r="E139" t="str">
        <f>"Efetivo-Inativo I- RJUSM"</f>
        <v>Efetivo-Inativo I- RJUSM</v>
      </c>
      <c r="F139" t="str">
        <f>"R$ 2.790,17"</f>
        <v>R$ 2.790,17</v>
      </c>
      <c r="G139" t="str">
        <f>"R$ 3.487,71"</f>
        <v>R$ 3.487,71</v>
      </c>
      <c r="H139" t="str">
        <f t="shared" si="9"/>
        <v>R$ 0,00</v>
      </c>
      <c r="I139" t="str">
        <f>"R$ 3.487,71"</f>
        <v>R$ 3.487,71</v>
      </c>
      <c r="J139" t="str">
        <f>"R$ 1.047,10"</f>
        <v>R$ 1.047,10</v>
      </c>
      <c r="K139" t="str">
        <f>"R$ 2.440,61"</f>
        <v>R$ 2.440,61</v>
      </c>
    </row>
    <row r="140" spans="1:11" x14ac:dyDescent="0.25">
      <c r="A140" t="str">
        <f>"03641090 / 1"</f>
        <v>03641090 / 1</v>
      </c>
      <c r="B140" t="str">
        <f>"13° Salário Anual"</f>
        <v>13° Salário Anual</v>
      </c>
      <c r="C140" t="str">
        <f>"Andrea Cristiane dos Santos Almeida Pinto"</f>
        <v>Andrea Cristiane dos Santos Almeida Pinto</v>
      </c>
      <c r="D140" t="str">
        <f>"DAS 04"</f>
        <v>DAS 04</v>
      </c>
      <c r="E140" t="str">
        <f>"Comissionado"</f>
        <v>Comissionado</v>
      </c>
      <c r="F140" t="str">
        <f>"R$ 1.685,13"</f>
        <v>R$ 1.685,13</v>
      </c>
      <c r="G140" t="str">
        <f>"R$ 1.404,27"</f>
        <v>R$ 1.404,27</v>
      </c>
      <c r="H140" t="str">
        <f t="shared" si="9"/>
        <v>R$ 0,00</v>
      </c>
      <c r="I140" t="str">
        <f>"R$ 1.404,27"</f>
        <v>R$ 1.404,27</v>
      </c>
      <c r="J140" t="str">
        <f>"R$ 812,01"</f>
        <v>R$ 812,01</v>
      </c>
      <c r="K140" t="str">
        <f>"R$ 592,26"</f>
        <v>R$ 592,26</v>
      </c>
    </row>
    <row r="141" spans="1:11" x14ac:dyDescent="0.25">
      <c r="A141" t="str">
        <f>"03641090 / 1"</f>
        <v>03641090 / 1</v>
      </c>
      <c r="B141" t="str">
        <f>"Folha Mensal"</f>
        <v>Folha Mensal</v>
      </c>
      <c r="C141" t="str">
        <f>"Andrea Cristiane dos Santos Almeida Pinto"</f>
        <v>Andrea Cristiane dos Santos Almeida Pinto</v>
      </c>
      <c r="D141" t="str">
        <f>"DAS 04"</f>
        <v>DAS 04</v>
      </c>
      <c r="E141" t="str">
        <f>"Comissionado"</f>
        <v>Comissionado</v>
      </c>
      <c r="F141" t="str">
        <f>"R$ 1.685,13"</f>
        <v>R$ 1.685,13</v>
      </c>
      <c r="G141" t="str">
        <f>"R$ 1.685,13"</f>
        <v>R$ 1.685,13</v>
      </c>
      <c r="H141" t="str">
        <f t="shared" si="9"/>
        <v>R$ 0,00</v>
      </c>
      <c r="I141" t="str">
        <f>"R$ 1.685,13"</f>
        <v>R$ 1.685,13</v>
      </c>
      <c r="J141" t="str">
        <f>"R$ 135,16"</f>
        <v>R$ 135,16</v>
      </c>
      <c r="K141" t="str">
        <f>"R$ 1.549,97"</f>
        <v>R$ 1.549,97</v>
      </c>
    </row>
    <row r="142" spans="1:11" x14ac:dyDescent="0.25">
      <c r="A142" t="str">
        <f>"03640957 / 1"</f>
        <v>03640957 / 1</v>
      </c>
      <c r="B142" t="str">
        <f>"13° Salário Anual"</f>
        <v>13° Salário Anual</v>
      </c>
      <c r="C142" t="str">
        <f>"Andrey Wilson Cardoso Batista"</f>
        <v>Andrey Wilson Cardoso Batista</v>
      </c>
      <c r="D142" t="str">
        <f>"DAS 08"</f>
        <v>DAS 08</v>
      </c>
      <c r="E142" t="str">
        <f>"Comissionado"</f>
        <v>Comissionado</v>
      </c>
      <c r="F142" t="str">
        <f>"R$ 4.200,00"</f>
        <v>R$ 4.200,00</v>
      </c>
      <c r="G142" t="str">
        <f>"R$ 3.500,00"</f>
        <v>R$ 3.500,00</v>
      </c>
      <c r="H142" t="str">
        <f t="shared" si="9"/>
        <v>R$ 0,00</v>
      </c>
      <c r="I142" t="str">
        <f>"R$ 3.500,00"</f>
        <v>R$ 3.500,00</v>
      </c>
      <c r="J142" t="str">
        <f>"R$ 2.210,27"</f>
        <v>R$ 2.210,27</v>
      </c>
      <c r="K142" t="str">
        <f>"R$ 1.289,73"</f>
        <v>R$ 1.289,73</v>
      </c>
    </row>
    <row r="143" spans="1:11" x14ac:dyDescent="0.25">
      <c r="A143" t="str">
        <f>"03640957 / 1"</f>
        <v>03640957 / 1</v>
      </c>
      <c r="B143" t="str">
        <f>"Folha Mensal"</f>
        <v>Folha Mensal</v>
      </c>
      <c r="C143" t="str">
        <f>"Andrey Wilson Cardoso Batista"</f>
        <v>Andrey Wilson Cardoso Batista</v>
      </c>
      <c r="D143" t="str">
        <f>"DAS 08"</f>
        <v>DAS 08</v>
      </c>
      <c r="E143" t="str">
        <f>"Comissionado"</f>
        <v>Comissionado</v>
      </c>
      <c r="F143" t="str">
        <f>"R$ 4.200,00"</f>
        <v>R$ 4.200,00</v>
      </c>
      <c r="G143" t="str">
        <f>"R$ 4.200,00"</f>
        <v>R$ 4.200,00</v>
      </c>
      <c r="H143" t="str">
        <f t="shared" si="9"/>
        <v>R$ 0,00</v>
      </c>
      <c r="I143" t="str">
        <f>"R$ 4.200,00"</f>
        <v>R$ 4.200,00</v>
      </c>
      <c r="J143" t="str">
        <f>"R$ 649,30"</f>
        <v>R$ 649,30</v>
      </c>
      <c r="K143" t="str">
        <f>"R$ 3.550,70"</f>
        <v>R$ 3.550,70</v>
      </c>
    </row>
    <row r="144" spans="1:11" x14ac:dyDescent="0.25">
      <c r="A144" t="str">
        <f>"00012700 / 1"</f>
        <v>00012700 / 1</v>
      </c>
      <c r="B144" t="str">
        <f>"13° Salário Anual"</f>
        <v>13° Salário Anual</v>
      </c>
      <c r="C144" t="str">
        <f>"Angela Maria Barros da Silva"</f>
        <v>Angela Maria Barros da Silva</v>
      </c>
      <c r="D144" t="str">
        <f>"PROFESSOR NIVEL III"</f>
        <v>PROFESSOR NIVEL III</v>
      </c>
      <c r="E144" t="str">
        <f>"Efetivo-Inativos II-RJUSM"</f>
        <v>Efetivo-Inativos II-RJUSM</v>
      </c>
      <c r="F144" t="str">
        <f>"R$ 5.895,85"</f>
        <v>R$ 5.895,85</v>
      </c>
      <c r="G144" t="str">
        <f>"R$ 7.369,81"</f>
        <v>R$ 7.369,81</v>
      </c>
      <c r="H144" t="str">
        <f t="shared" si="9"/>
        <v>R$ 0,00</v>
      </c>
      <c r="I144" t="str">
        <f>"R$ 7.369,81"</f>
        <v>R$ 7.369,81</v>
      </c>
      <c r="J144" t="str">
        <f>"R$ 4.918,87"</f>
        <v>R$ 4.918,87</v>
      </c>
      <c r="K144" t="str">
        <f>"R$ 2.450,94"</f>
        <v>R$ 2.450,94</v>
      </c>
    </row>
    <row r="145" spans="1:11" x14ac:dyDescent="0.25">
      <c r="A145" t="str">
        <f>"00012700 / 1"</f>
        <v>00012700 / 1</v>
      </c>
      <c r="B145" t="str">
        <f>"Folha Mensal"</f>
        <v>Folha Mensal</v>
      </c>
      <c r="C145" t="str">
        <f>"Angela Maria Barros da Silva"</f>
        <v>Angela Maria Barros da Silva</v>
      </c>
      <c r="D145" t="str">
        <f>"PROFESSOR NIVEL III"</f>
        <v>PROFESSOR NIVEL III</v>
      </c>
      <c r="E145" t="str">
        <f>"Efetivo-Inativos II-RJUSM"</f>
        <v>Efetivo-Inativos II-RJUSM</v>
      </c>
      <c r="F145" t="str">
        <f>"R$ 5.895,85"</f>
        <v>R$ 5.895,85</v>
      </c>
      <c r="G145" t="str">
        <f>"R$ 7.369,81"</f>
        <v>R$ 7.369,81</v>
      </c>
      <c r="H145" t="str">
        <f t="shared" si="9"/>
        <v>R$ 0,00</v>
      </c>
      <c r="I145" t="str">
        <f>"R$ 7.369,81"</f>
        <v>R$ 7.369,81</v>
      </c>
      <c r="J145" t="str">
        <f>"R$ 3.051,94"</f>
        <v>R$ 3.051,94</v>
      </c>
      <c r="K145" t="str">
        <f>"R$ 4.317,87"</f>
        <v>R$ 4.317,87</v>
      </c>
    </row>
    <row r="146" spans="1:11" x14ac:dyDescent="0.25">
      <c r="A146" t="str">
        <f>"00024619 / 1"</f>
        <v>00024619 / 1</v>
      </c>
      <c r="B146" t="str">
        <f>"13° Salário Anual"</f>
        <v>13° Salário Anual</v>
      </c>
      <c r="C146" t="str">
        <f>"Angela Maria Fonseca Motta"</f>
        <v>Angela Maria Fonseca Motta</v>
      </c>
      <c r="D146" t="str">
        <f>"PROP INVALIDEZ"</f>
        <v>PROP INVALIDEZ</v>
      </c>
      <c r="E146" t="str">
        <f t="shared" ref="E146:E155" si="10">"Efetivo-Inativo I- RJUSM"</f>
        <v>Efetivo-Inativo I- RJUSM</v>
      </c>
      <c r="F146" t="str">
        <f>"R$ 866,39"</f>
        <v>R$ 866,39</v>
      </c>
      <c r="G146" t="str">
        <f>"R$ 1.100,00"</f>
        <v>R$ 1.100,00</v>
      </c>
      <c r="H146" t="str">
        <f t="shared" si="9"/>
        <v>R$ 0,00</v>
      </c>
      <c r="I146" t="str">
        <f>"R$ 1.100,00"</f>
        <v>R$ 1.100,00</v>
      </c>
      <c r="J146" t="str">
        <f>"R$ 550,00"</f>
        <v>R$ 550,00</v>
      </c>
      <c r="K146" t="str">
        <f>"R$ 550,00"</f>
        <v>R$ 550,00</v>
      </c>
    </row>
    <row r="147" spans="1:11" x14ac:dyDescent="0.25">
      <c r="A147" t="str">
        <f>"00024619 / 1"</f>
        <v>00024619 / 1</v>
      </c>
      <c r="B147" t="str">
        <f>"Folha Mensal"</f>
        <v>Folha Mensal</v>
      </c>
      <c r="C147" t="str">
        <f>"Angela Maria Fonseca Motta"</f>
        <v>Angela Maria Fonseca Motta</v>
      </c>
      <c r="D147" t="str">
        <f>"PROP INVALIDEZ"</f>
        <v>PROP INVALIDEZ</v>
      </c>
      <c r="E147" t="str">
        <f t="shared" si="10"/>
        <v>Efetivo-Inativo I- RJUSM</v>
      </c>
      <c r="F147" t="str">
        <f>"R$ 866,39"</f>
        <v>R$ 866,39</v>
      </c>
      <c r="G147" t="str">
        <f>"R$ 1.100,00"</f>
        <v>R$ 1.100,00</v>
      </c>
      <c r="H147" t="str">
        <f t="shared" si="9"/>
        <v>R$ 0,00</v>
      </c>
      <c r="I147" t="str">
        <f>"R$ 1.100,00"</f>
        <v>R$ 1.100,00</v>
      </c>
      <c r="J147" t="str">
        <f>"R$ 0,00"</f>
        <v>R$ 0,00</v>
      </c>
      <c r="K147" t="str">
        <f>"R$ 1.100,00"</f>
        <v>R$ 1.100,00</v>
      </c>
    </row>
    <row r="148" spans="1:11" x14ac:dyDescent="0.25">
      <c r="A148" t="str">
        <f>"00022934 / 2"</f>
        <v>00022934 / 2</v>
      </c>
      <c r="B148" t="str">
        <f>"13° Salário Anual"</f>
        <v>13° Salário Anual</v>
      </c>
      <c r="C148" t="str">
        <f>"Angela Maria Serrao de Araujo"</f>
        <v>Angela Maria Serrao de Araujo</v>
      </c>
      <c r="D148" t="str">
        <f t="shared" ref="D148:D153" si="11">"PROFESSOR"</f>
        <v>PROFESSOR</v>
      </c>
      <c r="E148" t="str">
        <f t="shared" si="10"/>
        <v>Efetivo-Inativo I- RJUSM</v>
      </c>
      <c r="F148" t="str">
        <f>"R$ 2.230,85"</f>
        <v>R$ 2.230,85</v>
      </c>
      <c r="G148" t="str">
        <f>"R$ 2.900,10"</f>
        <v>R$ 2.900,10</v>
      </c>
      <c r="H148" t="str">
        <f t="shared" si="9"/>
        <v>R$ 0,00</v>
      </c>
      <c r="I148" t="str">
        <f>"R$ 2.900,10"</f>
        <v>R$ 2.900,10</v>
      </c>
      <c r="J148" t="str">
        <f>"R$ 1.530,26"</f>
        <v>R$ 1.530,26</v>
      </c>
      <c r="K148" t="str">
        <f>"R$ 1.369,84"</f>
        <v>R$ 1.369,84</v>
      </c>
    </row>
    <row r="149" spans="1:11" x14ac:dyDescent="0.25">
      <c r="A149" t="str">
        <f>"00022934 / 2"</f>
        <v>00022934 / 2</v>
      </c>
      <c r="B149" t="str">
        <f>"Folha Mensal"</f>
        <v>Folha Mensal</v>
      </c>
      <c r="C149" t="str">
        <f>"Angela Maria Serrao de Araujo"</f>
        <v>Angela Maria Serrao de Araujo</v>
      </c>
      <c r="D149" t="str">
        <f t="shared" si="11"/>
        <v>PROFESSOR</v>
      </c>
      <c r="E149" t="str">
        <f t="shared" si="10"/>
        <v>Efetivo-Inativo I- RJUSM</v>
      </c>
      <c r="F149" t="str">
        <f>"R$ 2.230,85"</f>
        <v>R$ 2.230,85</v>
      </c>
      <c r="G149" t="str">
        <f>"R$ 2.900,10"</f>
        <v>R$ 2.900,10</v>
      </c>
      <c r="H149" t="str">
        <f t="shared" si="9"/>
        <v>R$ 0,00</v>
      </c>
      <c r="I149" t="str">
        <f>"R$ 2.900,10"</f>
        <v>R$ 2.900,10</v>
      </c>
      <c r="J149" t="str">
        <f>"R$ 80,21"</f>
        <v>R$ 80,21</v>
      </c>
      <c r="K149" t="str">
        <f>"R$ 2.819,89"</f>
        <v>R$ 2.819,89</v>
      </c>
    </row>
    <row r="150" spans="1:11" x14ac:dyDescent="0.25">
      <c r="A150" t="str">
        <f>"00012394 / 1"</f>
        <v>00012394 / 1</v>
      </c>
      <c r="B150" t="str">
        <f>"13° Salário Anual"</f>
        <v>13° Salário Anual</v>
      </c>
      <c r="C150" t="str">
        <f>"Angela Maria Sousa da Silva"</f>
        <v>Angela Maria Sousa da Silva</v>
      </c>
      <c r="D150" t="str">
        <f t="shared" si="11"/>
        <v>PROFESSOR</v>
      </c>
      <c r="E150" t="str">
        <f t="shared" si="10"/>
        <v>Efetivo-Inativo I- RJUSM</v>
      </c>
      <c r="F150" t="str">
        <f>"R$ 1.593,46"</f>
        <v>R$ 1.593,46</v>
      </c>
      <c r="G150" t="str">
        <f>"R$ 1.991,82"</f>
        <v>R$ 1.991,82</v>
      </c>
      <c r="H150" t="str">
        <f t="shared" si="9"/>
        <v>R$ 0,00</v>
      </c>
      <c r="I150" t="str">
        <f>"R$ 1.991,82"</f>
        <v>R$ 1.991,82</v>
      </c>
      <c r="J150" t="str">
        <f>"R$ 995,91"</f>
        <v>R$ 995,91</v>
      </c>
      <c r="K150" t="str">
        <f>"R$ 995,91"</f>
        <v>R$ 995,91</v>
      </c>
    </row>
    <row r="151" spans="1:11" x14ac:dyDescent="0.25">
      <c r="A151" t="str">
        <f>"00012394 / 1"</f>
        <v>00012394 / 1</v>
      </c>
      <c r="B151" t="str">
        <f>"Folha Mensal"</f>
        <v>Folha Mensal</v>
      </c>
      <c r="C151" t="str">
        <f>"Angela Maria Sousa da Silva"</f>
        <v>Angela Maria Sousa da Silva</v>
      </c>
      <c r="D151" t="str">
        <f t="shared" si="11"/>
        <v>PROFESSOR</v>
      </c>
      <c r="E151" t="str">
        <f t="shared" si="10"/>
        <v>Efetivo-Inativo I- RJUSM</v>
      </c>
      <c r="F151" t="str">
        <f>"R$ 1.593,46"</f>
        <v>R$ 1.593,46</v>
      </c>
      <c r="G151" t="str">
        <f>"R$ 1.991,82"</f>
        <v>R$ 1.991,82</v>
      </c>
      <c r="H151" t="str">
        <f t="shared" si="9"/>
        <v>R$ 0,00</v>
      </c>
      <c r="I151" t="str">
        <f>"R$ 1.991,82"</f>
        <v>R$ 1.991,82</v>
      </c>
      <c r="J151" t="str">
        <f>"R$ 575,25"</f>
        <v>R$ 575,25</v>
      </c>
      <c r="K151" t="str">
        <f>"R$ 1.416,57"</f>
        <v>R$ 1.416,57</v>
      </c>
    </row>
    <row r="152" spans="1:11" x14ac:dyDescent="0.25">
      <c r="A152" t="str">
        <f>"00003719 / 1"</f>
        <v>00003719 / 1</v>
      </c>
      <c r="B152" t="str">
        <f>"13° Salário Anual"</f>
        <v>13° Salário Anual</v>
      </c>
      <c r="C152" t="str">
        <f>"Angelita da Silva Andrade"</f>
        <v>Angelita da Silva Andrade</v>
      </c>
      <c r="D152" t="str">
        <f t="shared" si="11"/>
        <v>PROFESSOR</v>
      </c>
      <c r="E152" t="str">
        <f t="shared" si="10"/>
        <v>Efetivo-Inativo I- RJUSM</v>
      </c>
      <c r="F152" t="str">
        <f>"R$ 5.744,46"</f>
        <v>R$ 5.744,46</v>
      </c>
      <c r="G152" t="str">
        <f>"R$ 7.180,57"</f>
        <v>R$ 7.180,57</v>
      </c>
      <c r="H152" t="str">
        <f t="shared" si="9"/>
        <v>R$ 0,00</v>
      </c>
      <c r="I152" t="str">
        <f>"R$ 7.180,57"</f>
        <v>R$ 7.180,57</v>
      </c>
      <c r="J152" t="str">
        <f>"R$ 3.741,41"</f>
        <v>R$ 3.741,41</v>
      </c>
      <c r="K152" t="str">
        <f>"R$ 3.439,16"</f>
        <v>R$ 3.439,16</v>
      </c>
    </row>
    <row r="153" spans="1:11" x14ac:dyDescent="0.25">
      <c r="A153" t="str">
        <f>"00003719 / 1"</f>
        <v>00003719 / 1</v>
      </c>
      <c r="B153" t="str">
        <f>"Folha Mensal"</f>
        <v>Folha Mensal</v>
      </c>
      <c r="C153" t="str">
        <f>"Angelita da Silva Andrade"</f>
        <v>Angelita da Silva Andrade</v>
      </c>
      <c r="D153" t="str">
        <f t="shared" si="11"/>
        <v>PROFESSOR</v>
      </c>
      <c r="E153" t="str">
        <f t="shared" si="10"/>
        <v>Efetivo-Inativo I- RJUSM</v>
      </c>
      <c r="F153" t="str">
        <f>"R$ 5.744,46"</f>
        <v>R$ 5.744,46</v>
      </c>
      <c r="G153" t="str">
        <f>"R$ 7.180,57"</f>
        <v>R$ 7.180,57</v>
      </c>
      <c r="H153" t="str">
        <f t="shared" si="9"/>
        <v>R$ 0,00</v>
      </c>
      <c r="I153" t="str">
        <f>"R$ 7.180,57"</f>
        <v>R$ 7.180,57</v>
      </c>
      <c r="J153" t="str">
        <f>"R$ 151,13"</f>
        <v>R$ 151,13</v>
      </c>
      <c r="K153" t="str">
        <f>"R$ 7.029,44"</f>
        <v>R$ 7.029,44</v>
      </c>
    </row>
    <row r="154" spans="1:11" x14ac:dyDescent="0.25">
      <c r="A154" t="str">
        <f>"03642763 / 1"</f>
        <v>03642763 / 1</v>
      </c>
      <c r="B154" t="str">
        <f>"13° Salário Anual"</f>
        <v>13° Salário Anual</v>
      </c>
      <c r="C154" t="str">
        <f>"Angelita Maria da Conceicao Melo"</f>
        <v>Angelita Maria da Conceicao Melo</v>
      </c>
      <c r="D154" t="str">
        <f>"PROP IDADE"</f>
        <v>PROP IDADE</v>
      </c>
      <c r="E154" t="str">
        <f t="shared" si="10"/>
        <v>Efetivo-Inativo I- RJUSM</v>
      </c>
      <c r="F154" t="str">
        <f>"R$ 1.100,00"</f>
        <v>R$ 1.100,00</v>
      </c>
      <c r="G154" t="str">
        <f>"R$ 1.100,00"</f>
        <v>R$ 1.100,00</v>
      </c>
      <c r="H154" t="str">
        <f t="shared" si="9"/>
        <v>R$ 0,00</v>
      </c>
      <c r="I154" t="str">
        <f>"R$ 1.100,00"</f>
        <v>R$ 1.100,00</v>
      </c>
      <c r="J154" t="str">
        <f>"R$ 550,00"</f>
        <v>R$ 550,00</v>
      </c>
      <c r="K154" t="str">
        <f>"R$ 550,00"</f>
        <v>R$ 550,00</v>
      </c>
    </row>
    <row r="155" spans="1:11" x14ac:dyDescent="0.25">
      <c r="A155" t="str">
        <f>"03642763 / 1"</f>
        <v>03642763 / 1</v>
      </c>
      <c r="B155" t="str">
        <f>"Folha Mensal"</f>
        <v>Folha Mensal</v>
      </c>
      <c r="C155" t="str">
        <f>"Angelita Maria da Conceicao Melo"</f>
        <v>Angelita Maria da Conceicao Melo</v>
      </c>
      <c r="D155" t="str">
        <f>"PROP IDADE"</f>
        <v>PROP IDADE</v>
      </c>
      <c r="E155" t="str">
        <f t="shared" si="10"/>
        <v>Efetivo-Inativo I- RJUSM</v>
      </c>
      <c r="F155" t="str">
        <f>"R$ 1.100,00"</f>
        <v>R$ 1.100,00</v>
      </c>
      <c r="G155" t="str">
        <f>"R$ 1.100,00"</f>
        <v>R$ 1.100,00</v>
      </c>
      <c r="H155" t="str">
        <f t="shared" si="9"/>
        <v>R$ 0,00</v>
      </c>
      <c r="I155" t="str">
        <f>"R$ 1.100,00"</f>
        <v>R$ 1.100,00</v>
      </c>
      <c r="J155" t="str">
        <f>"R$ 0,00"</f>
        <v>R$ 0,00</v>
      </c>
      <c r="K155" t="str">
        <f>"R$ 1.100,00"</f>
        <v>R$ 1.100,00</v>
      </c>
    </row>
    <row r="156" spans="1:11" x14ac:dyDescent="0.25">
      <c r="A156" t="str">
        <f>"03640396 / 1"</f>
        <v>03640396 / 1</v>
      </c>
      <c r="B156" t="str">
        <f>"13° Salário Anual"</f>
        <v>13° Salário Anual</v>
      </c>
      <c r="C156" t="str">
        <f>"Anna Paula Alves de Azevedo Maia"</f>
        <v>Anna Paula Alves de Azevedo Maia</v>
      </c>
      <c r="D156" t="str">
        <f>"DAS 06"</f>
        <v>DAS 06</v>
      </c>
      <c r="E156" t="str">
        <f>"Comissionado"</f>
        <v>Comissionado</v>
      </c>
      <c r="F156" t="str">
        <f>"R$ 2.427,00"</f>
        <v>R$ 2.427,00</v>
      </c>
      <c r="G156" t="str">
        <f>"R$ 2.427,00"</f>
        <v>R$ 2.427,00</v>
      </c>
      <c r="H156" t="str">
        <f t="shared" si="9"/>
        <v>R$ 0,00</v>
      </c>
      <c r="I156" t="str">
        <f>"R$ 2.427,00"</f>
        <v>R$ 2.427,00</v>
      </c>
      <c r="J156" t="str">
        <f>"R$ 1.431,48"</f>
        <v>R$ 1.431,48</v>
      </c>
      <c r="K156" t="str">
        <f>"R$ 995,52"</f>
        <v>R$ 995,52</v>
      </c>
    </row>
    <row r="157" spans="1:11" x14ac:dyDescent="0.25">
      <c r="A157" t="str">
        <f>"03640396 / 1"</f>
        <v>03640396 / 1</v>
      </c>
      <c r="B157" t="str">
        <f>"Folha Mensal"</f>
        <v>Folha Mensal</v>
      </c>
      <c r="C157" t="str">
        <f>"Anna Paula Alves de Azevedo Maia"</f>
        <v>Anna Paula Alves de Azevedo Maia</v>
      </c>
      <c r="D157" t="str">
        <f>"DAS 06"</f>
        <v>DAS 06</v>
      </c>
      <c r="E157" t="str">
        <f>"Comissionado"</f>
        <v>Comissionado</v>
      </c>
      <c r="F157" t="str">
        <f>"R$ 2.427,00"</f>
        <v>R$ 2.427,00</v>
      </c>
      <c r="G157" t="str">
        <f>"R$ 2.427,00"</f>
        <v>R$ 2.427,00</v>
      </c>
      <c r="H157" t="str">
        <f>"R$ 288,00"</f>
        <v>R$ 288,00</v>
      </c>
      <c r="I157" t="str">
        <f>"R$ 2.715,00"</f>
        <v>R$ 2.715,00</v>
      </c>
      <c r="J157" t="str">
        <f>"R$ 363,60"</f>
        <v>R$ 363,60</v>
      </c>
      <c r="K157" t="str">
        <f>"R$ 2.351,40"</f>
        <v>R$ 2.351,40</v>
      </c>
    </row>
    <row r="158" spans="1:11" x14ac:dyDescent="0.25">
      <c r="A158" t="str">
        <f>"03641635 / 1"</f>
        <v>03641635 / 1</v>
      </c>
      <c r="B158" t="str">
        <f>"13° Salário Anual"</f>
        <v>13° Salário Anual</v>
      </c>
      <c r="C158" t="str">
        <f>"Anny Pompeu de Andrade"</f>
        <v>Anny Pompeu de Andrade</v>
      </c>
      <c r="D158" t="str">
        <f>"DAS 04"</f>
        <v>DAS 04</v>
      </c>
      <c r="E158" t="str">
        <f>"Comissionado"</f>
        <v>Comissionado</v>
      </c>
      <c r="F158" t="str">
        <f>"R$ 1.685,13"</f>
        <v>R$ 1.685,13</v>
      </c>
      <c r="G158" t="str">
        <f>"R$ 842,56"</f>
        <v>R$ 842,56</v>
      </c>
      <c r="H158" t="str">
        <f t="shared" ref="H158:H189" si="12">"R$ 0,00"</f>
        <v>R$ 0,00</v>
      </c>
      <c r="I158" t="str">
        <f>"R$ 842,56"</f>
        <v>R$ 842,56</v>
      </c>
      <c r="J158" t="str">
        <f>"R$ 484,47"</f>
        <v>R$ 484,47</v>
      </c>
      <c r="K158" t="str">
        <f>"R$ 358,09"</f>
        <v>R$ 358,09</v>
      </c>
    </row>
    <row r="159" spans="1:11" x14ac:dyDescent="0.25">
      <c r="A159" t="str">
        <f>"03641635 / 1"</f>
        <v>03641635 / 1</v>
      </c>
      <c r="B159" t="str">
        <f>"Folha Mensal"</f>
        <v>Folha Mensal</v>
      </c>
      <c r="C159" t="str">
        <f>"Anny Pompeu de Andrade"</f>
        <v>Anny Pompeu de Andrade</v>
      </c>
      <c r="D159" t="str">
        <f>"DAS 04"</f>
        <v>DAS 04</v>
      </c>
      <c r="E159" t="str">
        <f>"Comissionado"</f>
        <v>Comissionado</v>
      </c>
      <c r="F159" t="str">
        <f>"R$ 1.685,13"</f>
        <v>R$ 1.685,13</v>
      </c>
      <c r="G159" t="str">
        <f>"R$ 1.685,13"</f>
        <v>R$ 1.685,13</v>
      </c>
      <c r="H159" t="str">
        <f t="shared" si="12"/>
        <v>R$ 0,00</v>
      </c>
      <c r="I159" t="str">
        <f>"R$ 1.685,13"</f>
        <v>R$ 1.685,13</v>
      </c>
      <c r="J159" t="str">
        <f>"R$ 135,16"</f>
        <v>R$ 135,16</v>
      </c>
      <c r="K159" t="str">
        <f>"R$ 1.549,97"</f>
        <v>R$ 1.549,97</v>
      </c>
    </row>
    <row r="160" spans="1:11" x14ac:dyDescent="0.25">
      <c r="A160" t="str">
        <f>"03642747 / 1"</f>
        <v>03642747 / 1</v>
      </c>
      <c r="B160" t="str">
        <f>"13° Salário Anual"</f>
        <v>13° Salário Anual</v>
      </c>
      <c r="C160" t="str">
        <f>"Antonia da Silva Barbosa"</f>
        <v>Antonia da Silva Barbosa</v>
      </c>
      <c r="D160" t="str">
        <f>"PENSIONISTA"</f>
        <v>PENSIONISTA</v>
      </c>
      <c r="E160" t="str">
        <f>"Pensionista"</f>
        <v>Pensionista</v>
      </c>
      <c r="F160" t="str">
        <f>"R$ 1.100,00"</f>
        <v>R$ 1.100,00</v>
      </c>
      <c r="G160" t="str">
        <f>"R$ 1.100,00"</f>
        <v>R$ 1.100,00</v>
      </c>
      <c r="H160" t="str">
        <f t="shared" si="12"/>
        <v>R$ 0,00</v>
      </c>
      <c r="I160" t="str">
        <f>"R$ 1.100,00"</f>
        <v>R$ 1.100,00</v>
      </c>
      <c r="J160" t="str">
        <f>"R$ 550,00"</f>
        <v>R$ 550,00</v>
      </c>
      <c r="K160" t="str">
        <f>"R$ 550,00"</f>
        <v>R$ 550,00</v>
      </c>
    </row>
    <row r="161" spans="1:11" x14ac:dyDescent="0.25">
      <c r="A161" t="str">
        <f>"03642747 / 1"</f>
        <v>03642747 / 1</v>
      </c>
      <c r="B161" t="str">
        <f>"Folha Mensal"</f>
        <v>Folha Mensal</v>
      </c>
      <c r="C161" t="str">
        <f>"Antonia da Silva Barbosa"</f>
        <v>Antonia da Silva Barbosa</v>
      </c>
      <c r="D161" t="str">
        <f>"PENSIONISTA"</f>
        <v>PENSIONISTA</v>
      </c>
      <c r="E161" t="str">
        <f>"Pensionista"</f>
        <v>Pensionista</v>
      </c>
      <c r="F161" t="str">
        <f>"R$ 1.100,00"</f>
        <v>R$ 1.100,00</v>
      </c>
      <c r="G161" t="str">
        <f>"R$ 1.100,00"</f>
        <v>R$ 1.100,00</v>
      </c>
      <c r="H161" t="str">
        <f t="shared" si="12"/>
        <v>R$ 0,00</v>
      </c>
      <c r="I161" t="str">
        <f>"R$ 1.100,00"</f>
        <v>R$ 1.100,00</v>
      </c>
      <c r="J161" t="str">
        <f>"R$ 0,00"</f>
        <v>R$ 0,00</v>
      </c>
      <c r="K161" t="str">
        <f>"R$ 1.100,00"</f>
        <v>R$ 1.100,00</v>
      </c>
    </row>
    <row r="162" spans="1:11" x14ac:dyDescent="0.25">
      <c r="A162" t="str">
        <f>"00006300 / 1"</f>
        <v>00006300 / 1</v>
      </c>
      <c r="B162" t="str">
        <f>"13° Salário Anual"</f>
        <v>13° Salário Anual</v>
      </c>
      <c r="C162" t="str">
        <f>"Antonia de Castro Machado"</f>
        <v>Antonia de Castro Machado</v>
      </c>
      <c r="D162" t="str">
        <f>"PROP IDADE"</f>
        <v>PROP IDADE</v>
      </c>
      <c r="E162" t="str">
        <f>"Efetivo-Inativo I- RJUSM"</f>
        <v>Efetivo-Inativo I- RJUSM</v>
      </c>
      <c r="F162" t="str">
        <f>"R$ 866,39"</f>
        <v>R$ 866,39</v>
      </c>
      <c r="G162" t="str">
        <f>"R$ 1.100,00"</f>
        <v>R$ 1.100,00</v>
      </c>
      <c r="H162" t="str">
        <f t="shared" si="12"/>
        <v>R$ 0,00</v>
      </c>
      <c r="I162" t="str">
        <f>"R$ 1.100,00"</f>
        <v>R$ 1.100,00</v>
      </c>
      <c r="J162" t="str">
        <f>"R$ 550,00"</f>
        <v>R$ 550,00</v>
      </c>
      <c r="K162" t="str">
        <f>"R$ 550,00"</f>
        <v>R$ 550,00</v>
      </c>
    </row>
    <row r="163" spans="1:11" x14ac:dyDescent="0.25">
      <c r="A163" t="str">
        <f>"00006300 / 1"</f>
        <v>00006300 / 1</v>
      </c>
      <c r="B163" t="str">
        <f>"Folha Mensal"</f>
        <v>Folha Mensal</v>
      </c>
      <c r="C163" t="str">
        <f>"Antonia de Castro Machado"</f>
        <v>Antonia de Castro Machado</v>
      </c>
      <c r="D163" t="str">
        <f>"PROP IDADE"</f>
        <v>PROP IDADE</v>
      </c>
      <c r="E163" t="str">
        <f>"Efetivo-Inativo I- RJUSM"</f>
        <v>Efetivo-Inativo I- RJUSM</v>
      </c>
      <c r="F163" t="str">
        <f>"R$ 866,39"</f>
        <v>R$ 866,39</v>
      </c>
      <c r="G163" t="str">
        <f>"R$ 1.100,00"</f>
        <v>R$ 1.100,00</v>
      </c>
      <c r="H163" t="str">
        <f t="shared" si="12"/>
        <v>R$ 0,00</v>
      </c>
      <c r="I163" t="str">
        <f>"R$ 1.100,00"</f>
        <v>R$ 1.100,00</v>
      </c>
      <c r="J163" t="str">
        <f>"R$ 0,00"</f>
        <v>R$ 0,00</v>
      </c>
      <c r="K163" t="str">
        <f>"R$ 1.100,00"</f>
        <v>R$ 1.100,00</v>
      </c>
    </row>
    <row r="164" spans="1:11" x14ac:dyDescent="0.25">
      <c r="A164" t="str">
        <f>"00022730 / 1"</f>
        <v>00022730 / 1</v>
      </c>
      <c r="B164" t="str">
        <f>"13° Salário Anual"</f>
        <v>13° Salário Anual</v>
      </c>
      <c r="C164" t="str">
        <f>"Antonia Elizette Mattos Pinheiro"</f>
        <v>Antonia Elizette Mattos Pinheiro</v>
      </c>
      <c r="D164" t="str">
        <f>"PROFESSOR"</f>
        <v>PROFESSOR</v>
      </c>
      <c r="E164" t="str">
        <f>"Efetivo-Inativo I- RJUSM"</f>
        <v>Efetivo-Inativo I- RJUSM</v>
      </c>
      <c r="F164" t="str">
        <f>"R$ 1.593,46"</f>
        <v>R$ 1.593,46</v>
      </c>
      <c r="G164" t="str">
        <f>"R$ 1.991,82"</f>
        <v>R$ 1.991,82</v>
      </c>
      <c r="H164" t="str">
        <f t="shared" si="12"/>
        <v>R$ 0,00</v>
      </c>
      <c r="I164" t="str">
        <f>"R$ 1.991,82"</f>
        <v>R$ 1.991,82</v>
      </c>
      <c r="J164" t="str">
        <f>"R$ 995,91"</f>
        <v>R$ 995,91</v>
      </c>
      <c r="K164" t="str">
        <f>"R$ 995,91"</f>
        <v>R$ 995,91</v>
      </c>
    </row>
    <row r="165" spans="1:11" x14ac:dyDescent="0.25">
      <c r="A165" t="str">
        <f>"00022730 / 1"</f>
        <v>00022730 / 1</v>
      </c>
      <c r="B165" t="str">
        <f>"Folha Mensal"</f>
        <v>Folha Mensal</v>
      </c>
      <c r="C165" t="str">
        <f>"Antonia Elizette Mattos Pinheiro"</f>
        <v>Antonia Elizette Mattos Pinheiro</v>
      </c>
      <c r="D165" t="str">
        <f>"PROFESSOR"</f>
        <v>PROFESSOR</v>
      </c>
      <c r="E165" t="str">
        <f>"Efetivo-Inativo I- RJUSM"</f>
        <v>Efetivo-Inativo I- RJUSM</v>
      </c>
      <c r="F165" t="str">
        <f>"R$ 1.593,46"</f>
        <v>R$ 1.593,46</v>
      </c>
      <c r="G165" t="str">
        <f>"R$ 1.991,82"</f>
        <v>R$ 1.991,82</v>
      </c>
      <c r="H165" t="str">
        <f t="shared" si="12"/>
        <v>R$ 0,00</v>
      </c>
      <c r="I165" t="str">
        <f>"R$ 1.991,82"</f>
        <v>R$ 1.991,82</v>
      </c>
      <c r="J165" t="str">
        <f>"R$ 0,00"</f>
        <v>R$ 0,00</v>
      </c>
      <c r="K165" t="str">
        <f>"R$ 1.991,82"</f>
        <v>R$ 1.991,82</v>
      </c>
    </row>
    <row r="166" spans="1:11" x14ac:dyDescent="0.25">
      <c r="A166" t="str">
        <f>"00005983 / 2"</f>
        <v>00005983 / 2</v>
      </c>
      <c r="B166" t="str">
        <f>"13° Salário Anual"</f>
        <v>13° Salário Anual</v>
      </c>
      <c r="C166" t="str">
        <f>"Antonia Luciana Goncalves Ferreira"</f>
        <v>Antonia Luciana Goncalves Ferreira</v>
      </c>
      <c r="D166" t="str">
        <f>"PROFESSOR NIVEL III"</f>
        <v>PROFESSOR NIVEL III</v>
      </c>
      <c r="E166" t="str">
        <f t="shared" ref="E166:E171" si="13">"Efetivo-Inativos II-RJUSM"</f>
        <v>Efetivo-Inativos II-RJUSM</v>
      </c>
      <c r="F166" t="str">
        <f>"R$ 6.055,17"</f>
        <v>R$ 6.055,17</v>
      </c>
      <c r="G166" t="str">
        <f>"R$ 7.871,72"</f>
        <v>R$ 7.871,72</v>
      </c>
      <c r="H166" t="str">
        <f t="shared" si="12"/>
        <v>R$ 0,00</v>
      </c>
      <c r="I166" t="str">
        <f>"R$ 7.871,72"</f>
        <v>R$ 7.871,72</v>
      </c>
      <c r="J166" t="str">
        <f>"R$ 5.410,94"</f>
        <v>R$ 5.410,94</v>
      </c>
      <c r="K166" t="str">
        <f>"R$ 2.460,78"</f>
        <v>R$ 2.460,78</v>
      </c>
    </row>
    <row r="167" spans="1:11" x14ac:dyDescent="0.25">
      <c r="A167" t="str">
        <f>"00005983 / 2"</f>
        <v>00005983 / 2</v>
      </c>
      <c r="B167" t="str">
        <f>"Folha Mensal"</f>
        <v>Folha Mensal</v>
      </c>
      <c r="C167" t="str">
        <f>"Antonia Luciana Goncalves Ferreira"</f>
        <v>Antonia Luciana Goncalves Ferreira</v>
      </c>
      <c r="D167" t="str">
        <f>"PROFESSOR NIVEL III"</f>
        <v>PROFESSOR NIVEL III</v>
      </c>
      <c r="E167" t="str">
        <f t="shared" si="13"/>
        <v>Efetivo-Inativos II-RJUSM</v>
      </c>
      <c r="F167" t="str">
        <f>"R$ 6.055,17"</f>
        <v>R$ 6.055,17</v>
      </c>
      <c r="G167" t="str">
        <f>"R$ 7.871,72"</f>
        <v>R$ 7.871,72</v>
      </c>
      <c r="H167" t="str">
        <f t="shared" si="12"/>
        <v>R$ 0,00</v>
      </c>
      <c r="I167" t="str">
        <f>"R$ 7.871,72"</f>
        <v>R$ 7.871,72</v>
      </c>
      <c r="J167" t="str">
        <f>"R$ 3.701,00"</f>
        <v>R$ 3.701,00</v>
      </c>
      <c r="K167" t="str">
        <f>"R$ 4.170,72"</f>
        <v>R$ 4.170,72</v>
      </c>
    </row>
    <row r="168" spans="1:11" x14ac:dyDescent="0.25">
      <c r="A168" t="str">
        <f>"00007927 / 1"</f>
        <v>00007927 / 1</v>
      </c>
      <c r="B168" t="str">
        <f>"13° Salário Anual"</f>
        <v>13° Salário Anual</v>
      </c>
      <c r="C168" t="str">
        <f>"Antonia Maria da Rocha Espíndola"</f>
        <v>Antonia Maria da Rocha Espíndola</v>
      </c>
      <c r="D168" t="str">
        <f>"PROFESSOR NIVEL I"</f>
        <v>PROFESSOR NIVEL I</v>
      </c>
      <c r="E168" t="str">
        <f t="shared" si="13"/>
        <v>Efetivo-Inativos II-RJUSM</v>
      </c>
      <c r="F168" t="str">
        <f>"R$ 4.621,05"</f>
        <v>R$ 4.621,05</v>
      </c>
      <c r="G168" t="str">
        <f>"R$ 5.776,31"</f>
        <v>R$ 5.776,31</v>
      </c>
      <c r="H168" t="str">
        <f t="shared" si="12"/>
        <v>R$ 0,00</v>
      </c>
      <c r="I168" t="str">
        <f>"R$ 5.776,31"</f>
        <v>R$ 5.776,31</v>
      </c>
      <c r="J168" t="str">
        <f>"R$ 3.607,27"</f>
        <v>R$ 3.607,27</v>
      </c>
      <c r="K168" t="str">
        <f>"R$ 2.169,04"</f>
        <v>R$ 2.169,04</v>
      </c>
    </row>
    <row r="169" spans="1:11" x14ac:dyDescent="0.25">
      <c r="A169" t="str">
        <f>"00007927 / 1"</f>
        <v>00007927 / 1</v>
      </c>
      <c r="B169" t="str">
        <f>"Folha Mensal"</f>
        <v>Folha Mensal</v>
      </c>
      <c r="C169" t="str">
        <f>"Antonia Maria da Rocha Espíndola"</f>
        <v>Antonia Maria da Rocha Espíndola</v>
      </c>
      <c r="D169" t="str">
        <f>"PROFESSOR NIVEL I"</f>
        <v>PROFESSOR NIVEL I</v>
      </c>
      <c r="E169" t="str">
        <f t="shared" si="13"/>
        <v>Efetivo-Inativos II-RJUSM</v>
      </c>
      <c r="F169" t="str">
        <f>"R$ 4.621,05"</f>
        <v>R$ 4.621,05</v>
      </c>
      <c r="G169" t="str">
        <f>"R$ 5.776,31"</f>
        <v>R$ 5.776,31</v>
      </c>
      <c r="H169" t="str">
        <f t="shared" si="12"/>
        <v>R$ 0,00</v>
      </c>
      <c r="I169" t="str">
        <f>"R$ 5.776,31"</f>
        <v>R$ 5.776,31</v>
      </c>
      <c r="J169" t="str">
        <f>"R$ 719,12"</f>
        <v>R$ 719,12</v>
      </c>
      <c r="K169" t="str">
        <f>"R$ 5.057,19"</f>
        <v>R$ 5.057,19</v>
      </c>
    </row>
    <row r="170" spans="1:11" x14ac:dyDescent="0.25">
      <c r="A170" t="str">
        <f>"00014605 / 1"</f>
        <v>00014605 / 1</v>
      </c>
      <c r="B170" t="str">
        <f>"13° Salário Anual"</f>
        <v>13° Salário Anual</v>
      </c>
      <c r="C170" t="str">
        <f>"Antonia Maria Ferro dos Santos"</f>
        <v>Antonia Maria Ferro dos Santos</v>
      </c>
      <c r="D170" t="str">
        <f>"PROFESSOR NIVEL III"</f>
        <v>PROFESSOR NIVEL III</v>
      </c>
      <c r="E170" t="str">
        <f t="shared" si="13"/>
        <v>Efetivo-Inativos II-RJUSM</v>
      </c>
      <c r="F170" t="str">
        <f>"R$ 5.045,98"</f>
        <v>R$ 5.045,98</v>
      </c>
      <c r="G170" t="str">
        <f>"R$ 6.559,77"</f>
        <v>R$ 6.559,77</v>
      </c>
      <c r="H170" t="str">
        <f t="shared" si="12"/>
        <v>R$ 0,00</v>
      </c>
      <c r="I170" t="str">
        <f>"R$ 6.559,77"</f>
        <v>R$ 6.559,77</v>
      </c>
      <c r="J170" t="str">
        <f>"R$ 4.261,00"</f>
        <v>R$ 4.261,00</v>
      </c>
      <c r="K170" t="str">
        <f>"R$ 2.298,77"</f>
        <v>R$ 2.298,77</v>
      </c>
    </row>
    <row r="171" spans="1:11" x14ac:dyDescent="0.25">
      <c r="A171" t="str">
        <f>"00014605 / 1"</f>
        <v>00014605 / 1</v>
      </c>
      <c r="B171" t="str">
        <f>"Folha Mensal"</f>
        <v>Folha Mensal</v>
      </c>
      <c r="C171" t="str">
        <f>"Antonia Maria Ferro dos Santos"</f>
        <v>Antonia Maria Ferro dos Santos</v>
      </c>
      <c r="D171" t="str">
        <f>"PROFESSOR NIVEL III"</f>
        <v>PROFESSOR NIVEL III</v>
      </c>
      <c r="E171" t="str">
        <f t="shared" si="13"/>
        <v>Efetivo-Inativos II-RJUSM</v>
      </c>
      <c r="F171" t="str">
        <f>"R$ 5.045,98"</f>
        <v>R$ 5.045,98</v>
      </c>
      <c r="G171" t="str">
        <f>"R$ 6.559,77"</f>
        <v>R$ 6.559,77</v>
      </c>
      <c r="H171" t="str">
        <f t="shared" si="12"/>
        <v>R$ 0,00</v>
      </c>
      <c r="I171" t="str">
        <f>"R$ 6.559,77"</f>
        <v>R$ 6.559,77</v>
      </c>
      <c r="J171" t="str">
        <f>"R$ 2.495,95"</f>
        <v>R$ 2.495,95</v>
      </c>
      <c r="K171" t="str">
        <f>"R$ 4.063,82"</f>
        <v>R$ 4.063,82</v>
      </c>
    </row>
    <row r="172" spans="1:11" x14ac:dyDescent="0.25">
      <c r="A172" t="str">
        <f>"00001015 / 1"</f>
        <v>00001015 / 1</v>
      </c>
      <c r="B172" t="str">
        <f>"13° Salário Anual"</f>
        <v>13° Salário Anual</v>
      </c>
      <c r="C172" t="str">
        <f>"Antonia Maria Moutinho de Holanda"</f>
        <v>Antonia Maria Moutinho de Holanda</v>
      </c>
      <c r="D172" t="str">
        <f>"PROFESSOR"</f>
        <v>PROFESSOR</v>
      </c>
      <c r="E172" t="str">
        <f t="shared" ref="E172:E177" si="14">"Efetivo-Inativo I- RJUSM"</f>
        <v>Efetivo-Inativo I- RJUSM</v>
      </c>
      <c r="F172" t="str">
        <f>"R$ 2.071,51"</f>
        <v>R$ 2.071,51</v>
      </c>
      <c r="G172" t="str">
        <f>"R$ 2.589,38"</f>
        <v>R$ 2.589,38</v>
      </c>
      <c r="H172" t="str">
        <f t="shared" si="12"/>
        <v>R$ 0,00</v>
      </c>
      <c r="I172" t="str">
        <f>"R$ 2.589,38"</f>
        <v>R$ 2.589,38</v>
      </c>
      <c r="J172" t="str">
        <f>"R$ 1.331,87"</f>
        <v>R$ 1.331,87</v>
      </c>
      <c r="K172" t="str">
        <f>"R$ 1.257,51"</f>
        <v>R$ 1.257,51</v>
      </c>
    </row>
    <row r="173" spans="1:11" x14ac:dyDescent="0.25">
      <c r="A173" t="str">
        <f>"00001015 / 1"</f>
        <v>00001015 / 1</v>
      </c>
      <c r="B173" t="str">
        <f>"Folha Mensal"</f>
        <v>Folha Mensal</v>
      </c>
      <c r="C173" t="str">
        <f>"Antonia Maria Moutinho de Holanda"</f>
        <v>Antonia Maria Moutinho de Holanda</v>
      </c>
      <c r="D173" t="str">
        <f>"PROFESSOR"</f>
        <v>PROFESSOR</v>
      </c>
      <c r="E173" t="str">
        <f t="shared" si="14"/>
        <v>Efetivo-Inativo I- RJUSM</v>
      </c>
      <c r="F173" t="str">
        <f>"R$ 2.071,51"</f>
        <v>R$ 2.071,51</v>
      </c>
      <c r="G173" t="str">
        <f>"R$ 2.589,38"</f>
        <v>R$ 2.589,38</v>
      </c>
      <c r="H173" t="str">
        <f t="shared" si="12"/>
        <v>R$ 0,00</v>
      </c>
      <c r="I173" t="str">
        <f>"R$ 2.589,38"</f>
        <v>R$ 2.589,38</v>
      </c>
      <c r="J173" t="str">
        <f>"R$ 642,58"</f>
        <v>R$ 642,58</v>
      </c>
      <c r="K173" t="str">
        <f>"R$ 1.946,80"</f>
        <v>R$ 1.946,80</v>
      </c>
    </row>
    <row r="174" spans="1:11" x14ac:dyDescent="0.25">
      <c r="A174" t="str">
        <f>"00003581 / 1"</f>
        <v>00003581 / 1</v>
      </c>
      <c r="B174" t="str">
        <f>"13° Salário Anual"</f>
        <v>13° Salário Anual</v>
      </c>
      <c r="C174" t="str">
        <f>"Antonia Paulino do Carmo"</f>
        <v>Antonia Paulino do Carmo</v>
      </c>
      <c r="D174" t="str">
        <f>"INT INVALIDEZ"</f>
        <v>INT INVALIDEZ</v>
      </c>
      <c r="E174" t="str">
        <f t="shared" si="14"/>
        <v>Efetivo-Inativo I- RJUSM</v>
      </c>
      <c r="F174" t="str">
        <f>"R$ 1.100,00"</f>
        <v>R$ 1.100,00</v>
      </c>
      <c r="G174" t="str">
        <f>"R$ 1.265,00"</f>
        <v>R$ 1.265,00</v>
      </c>
      <c r="H174" t="str">
        <f t="shared" si="12"/>
        <v>R$ 0,00</v>
      </c>
      <c r="I174" t="str">
        <f>"R$ 1.265,00"</f>
        <v>R$ 1.265,00</v>
      </c>
      <c r="J174" t="str">
        <f>"R$ 632,50"</f>
        <v>R$ 632,50</v>
      </c>
      <c r="K174" t="str">
        <f>"R$ 632,50"</f>
        <v>R$ 632,50</v>
      </c>
    </row>
    <row r="175" spans="1:11" x14ac:dyDescent="0.25">
      <c r="A175" t="str">
        <f>"00003581 / 1"</f>
        <v>00003581 / 1</v>
      </c>
      <c r="B175" t="str">
        <f>"Folha Mensal"</f>
        <v>Folha Mensal</v>
      </c>
      <c r="C175" t="str">
        <f>"Antonia Paulino do Carmo"</f>
        <v>Antonia Paulino do Carmo</v>
      </c>
      <c r="D175" t="str">
        <f>"INT INVALIDEZ"</f>
        <v>INT INVALIDEZ</v>
      </c>
      <c r="E175" t="str">
        <f t="shared" si="14"/>
        <v>Efetivo-Inativo I- RJUSM</v>
      </c>
      <c r="F175" t="str">
        <f>"R$ 1.100,00"</f>
        <v>R$ 1.100,00</v>
      </c>
      <c r="G175" t="str">
        <f>"R$ 1.265,00"</f>
        <v>R$ 1.265,00</v>
      </c>
      <c r="H175" t="str">
        <f t="shared" si="12"/>
        <v>R$ 0,00</v>
      </c>
      <c r="I175" t="str">
        <f>"R$ 1.265,00"</f>
        <v>R$ 1.265,00</v>
      </c>
      <c r="J175" t="str">
        <f>"R$ 392,23"</f>
        <v>R$ 392,23</v>
      </c>
      <c r="K175" t="str">
        <f>"R$ 872,77"</f>
        <v>R$ 872,77</v>
      </c>
    </row>
    <row r="176" spans="1:11" x14ac:dyDescent="0.25">
      <c r="A176" t="str">
        <f>"00002372 / 1"</f>
        <v>00002372 / 1</v>
      </c>
      <c r="B176" t="str">
        <f>"13° Salário Anual"</f>
        <v>13° Salário Anual</v>
      </c>
      <c r="C176" t="str">
        <f>"Antonia Pinheiro da Fonseca"</f>
        <v>Antonia Pinheiro da Fonseca</v>
      </c>
      <c r="D176" t="str">
        <f>"INT TEMP SERVICO"</f>
        <v>INT TEMP SERVICO</v>
      </c>
      <c r="E176" t="str">
        <f t="shared" si="14"/>
        <v>Efetivo-Inativo I- RJUSM</v>
      </c>
      <c r="F176" t="str">
        <f>"R$ 1.100,00"</f>
        <v>R$ 1.100,00</v>
      </c>
      <c r="G176" t="str">
        <f>"R$ 1.430,00"</f>
        <v>R$ 1.430,00</v>
      </c>
      <c r="H176" t="str">
        <f t="shared" si="12"/>
        <v>R$ 0,00</v>
      </c>
      <c r="I176" t="str">
        <f>"R$ 1.430,00"</f>
        <v>R$ 1.430,00</v>
      </c>
      <c r="J176" t="str">
        <f>"R$ 715,00"</f>
        <v>R$ 715,00</v>
      </c>
      <c r="K176" t="str">
        <f>"R$ 715,00"</f>
        <v>R$ 715,00</v>
      </c>
    </row>
    <row r="177" spans="1:11" x14ac:dyDescent="0.25">
      <c r="A177" t="str">
        <f>"00002372 / 1"</f>
        <v>00002372 / 1</v>
      </c>
      <c r="B177" t="str">
        <f>"Folha Mensal"</f>
        <v>Folha Mensal</v>
      </c>
      <c r="C177" t="str">
        <f>"Antonia Pinheiro da Fonseca"</f>
        <v>Antonia Pinheiro da Fonseca</v>
      </c>
      <c r="D177" t="str">
        <f>"INT TEMP SERVICO"</f>
        <v>INT TEMP SERVICO</v>
      </c>
      <c r="E177" t="str">
        <f t="shared" si="14"/>
        <v>Efetivo-Inativo I- RJUSM</v>
      </c>
      <c r="F177" t="str">
        <f>"R$ 1.100,00"</f>
        <v>R$ 1.100,00</v>
      </c>
      <c r="G177" t="str">
        <f>"R$ 1.430,00"</f>
        <v>R$ 1.430,00</v>
      </c>
      <c r="H177" t="str">
        <f t="shared" si="12"/>
        <v>R$ 0,00</v>
      </c>
      <c r="I177" t="str">
        <f>"R$ 1.430,00"</f>
        <v>R$ 1.430,00</v>
      </c>
      <c r="J177" t="str">
        <f>"R$ 428,38"</f>
        <v>R$ 428,38</v>
      </c>
      <c r="K177" t="str">
        <f>"R$ 1.001,62"</f>
        <v>R$ 1.001,62</v>
      </c>
    </row>
    <row r="178" spans="1:11" x14ac:dyDescent="0.25">
      <c r="A178" t="str">
        <f>"00008559 / 2"</f>
        <v>00008559 / 2</v>
      </c>
      <c r="B178" t="str">
        <f>"13° Salário Anual"</f>
        <v>13° Salário Anual</v>
      </c>
      <c r="C178" t="str">
        <f>"Antonia Roseneide Amim de Moura"</f>
        <v>Antonia Roseneide Amim de Moura</v>
      </c>
      <c r="D178" t="str">
        <f>"PROFESSOR NIVEL I"</f>
        <v>PROFESSOR NIVEL I</v>
      </c>
      <c r="E178" t="str">
        <f>"Efetivo-Inativos II-RJUSM"</f>
        <v>Efetivo-Inativos II-RJUSM</v>
      </c>
      <c r="F178" t="str">
        <f>"R$ 4.780,42"</f>
        <v>R$ 4.780,42</v>
      </c>
      <c r="G178" t="str">
        <f>"R$ 5.975,52"</f>
        <v>R$ 5.975,52</v>
      </c>
      <c r="H178" t="str">
        <f t="shared" si="12"/>
        <v>R$ 0,00</v>
      </c>
      <c r="I178" t="str">
        <f>"R$ 5.975,52"</f>
        <v>R$ 5.975,52</v>
      </c>
      <c r="J178" t="str">
        <f>"R$ 3.761,66"</f>
        <v>R$ 3.761,66</v>
      </c>
      <c r="K178" t="str">
        <f>"R$ 2.213,86"</f>
        <v>R$ 2.213,86</v>
      </c>
    </row>
    <row r="179" spans="1:11" x14ac:dyDescent="0.25">
      <c r="A179" t="str">
        <f>"00008559 / 2"</f>
        <v>00008559 / 2</v>
      </c>
      <c r="B179" t="str">
        <f>"Folha Mensal"</f>
        <v>Folha Mensal</v>
      </c>
      <c r="C179" t="str">
        <f>"Antonia Roseneide Amim de Moura"</f>
        <v>Antonia Roseneide Amim de Moura</v>
      </c>
      <c r="D179" t="str">
        <f>"PROFESSOR NIVEL I"</f>
        <v>PROFESSOR NIVEL I</v>
      </c>
      <c r="E179" t="str">
        <f>"Efetivo-Inativos II-RJUSM"</f>
        <v>Efetivo-Inativos II-RJUSM</v>
      </c>
      <c r="F179" t="str">
        <f>"R$ 4.780,42"</f>
        <v>R$ 4.780,42</v>
      </c>
      <c r="G179" t="str">
        <f>"R$ 5.975,52"</f>
        <v>R$ 5.975,52</v>
      </c>
      <c r="H179" t="str">
        <f t="shared" si="12"/>
        <v>R$ 0,00</v>
      </c>
      <c r="I179" t="str">
        <f>"R$ 5.975,52"</f>
        <v>R$ 5.975,52</v>
      </c>
      <c r="J179" t="str">
        <f>"R$ 2.270,19"</f>
        <v>R$ 2.270,19</v>
      </c>
      <c r="K179" t="str">
        <f>"R$ 3.705,33"</f>
        <v>R$ 3.705,33</v>
      </c>
    </row>
    <row r="180" spans="1:11" x14ac:dyDescent="0.25">
      <c r="A180" t="str">
        <f>"03642364 / 1"</f>
        <v>03642364 / 1</v>
      </c>
      <c r="B180" t="str">
        <f>"13° Salário Anual"</f>
        <v>13° Salário Anual</v>
      </c>
      <c r="C180" t="str">
        <f>"Antonia Sarmento Ribeiro"</f>
        <v>Antonia Sarmento Ribeiro</v>
      </c>
      <c r="D180" t="str">
        <f>"PROP COMPULSORIA"</f>
        <v>PROP COMPULSORIA</v>
      </c>
      <c r="E180" t="str">
        <f>"Efetivo-Inativos II-RJUSM"</f>
        <v>Efetivo-Inativos II-RJUSM</v>
      </c>
      <c r="F180" t="str">
        <f>"R$ 1.469,84"</f>
        <v>R$ 1.469,84</v>
      </c>
      <c r="G180" t="str">
        <f>"R$ 1.469,84"</f>
        <v>R$ 1.469,84</v>
      </c>
      <c r="H180" t="str">
        <f t="shared" si="12"/>
        <v>R$ 0,00</v>
      </c>
      <c r="I180" t="str">
        <f>"R$ 1.469,84"</f>
        <v>R$ 1.469,84</v>
      </c>
      <c r="J180" t="str">
        <f>"R$ 734,92"</f>
        <v>R$ 734,92</v>
      </c>
      <c r="K180" t="str">
        <f>"R$ 734,92"</f>
        <v>R$ 734,92</v>
      </c>
    </row>
    <row r="181" spans="1:11" x14ac:dyDescent="0.25">
      <c r="A181" t="str">
        <f>"03642364 / 1"</f>
        <v>03642364 / 1</v>
      </c>
      <c r="B181" t="str">
        <f>"Folha Mensal"</f>
        <v>Folha Mensal</v>
      </c>
      <c r="C181" t="str">
        <f>"Antonia Sarmento Ribeiro"</f>
        <v>Antonia Sarmento Ribeiro</v>
      </c>
      <c r="D181" t="str">
        <f>"PROP COMPULSORIA"</f>
        <v>PROP COMPULSORIA</v>
      </c>
      <c r="E181" t="str">
        <f>"Efetivo-Inativos II-RJUSM"</f>
        <v>Efetivo-Inativos II-RJUSM</v>
      </c>
      <c r="F181" t="str">
        <f>"R$ 1.469,84"</f>
        <v>R$ 1.469,84</v>
      </c>
      <c r="G181" t="str">
        <f>"R$ 1.469,84"</f>
        <v>R$ 1.469,84</v>
      </c>
      <c r="H181" t="str">
        <f t="shared" si="12"/>
        <v>R$ 0,00</v>
      </c>
      <c r="I181" t="str">
        <f>"R$ 1.469,84"</f>
        <v>R$ 1.469,84</v>
      </c>
      <c r="J181" t="str">
        <f>"R$ 182,17"</f>
        <v>R$ 182,17</v>
      </c>
      <c r="K181" t="str">
        <f>"R$ 1.287,67"</f>
        <v>R$ 1.287,67</v>
      </c>
    </row>
    <row r="182" spans="1:11" x14ac:dyDescent="0.25">
      <c r="A182" t="str">
        <f>"00025968 / 2"</f>
        <v>00025968 / 2</v>
      </c>
      <c r="B182" t="str">
        <f>"13° Salário Anual"</f>
        <v>13° Salário Anual</v>
      </c>
      <c r="C182" t="str">
        <f>"Antonia Silva Damasceno"</f>
        <v>Antonia Silva Damasceno</v>
      </c>
      <c r="D182" t="str">
        <f>"PROFESSOR"</f>
        <v>PROFESSOR</v>
      </c>
      <c r="E182" t="str">
        <f>"Efetivo-Inativo I- RJUSM"</f>
        <v>Efetivo-Inativo I- RJUSM</v>
      </c>
      <c r="F182" t="str">
        <f>"R$ 2.071,51"</f>
        <v>R$ 2.071,51</v>
      </c>
      <c r="G182" t="str">
        <f>"R$ 2.589,38"</f>
        <v>R$ 2.589,38</v>
      </c>
      <c r="H182" t="str">
        <f t="shared" si="12"/>
        <v>R$ 0,00</v>
      </c>
      <c r="I182" t="str">
        <f>"R$ 2.589,38"</f>
        <v>R$ 2.589,38</v>
      </c>
      <c r="J182" t="str">
        <f>"R$ 1.294,69"</f>
        <v>R$ 1.294,69</v>
      </c>
      <c r="K182" t="str">
        <f>"R$ 1.294,69"</f>
        <v>R$ 1.294,69</v>
      </c>
    </row>
    <row r="183" spans="1:11" x14ac:dyDescent="0.25">
      <c r="A183" t="str">
        <f>"00025968 / 2"</f>
        <v>00025968 / 2</v>
      </c>
      <c r="B183" t="str">
        <f>"Folha Mensal"</f>
        <v>Folha Mensal</v>
      </c>
      <c r="C183" t="str">
        <f>"Antonia Silva Damasceno"</f>
        <v>Antonia Silva Damasceno</v>
      </c>
      <c r="D183" t="str">
        <f>"PROFESSOR"</f>
        <v>PROFESSOR</v>
      </c>
      <c r="E183" t="str">
        <f>"Efetivo-Inativo I- RJUSM"</f>
        <v>Efetivo-Inativo I- RJUSM</v>
      </c>
      <c r="F183" t="str">
        <f>"R$ 2.071,51"</f>
        <v>R$ 2.071,51</v>
      </c>
      <c r="G183" t="str">
        <f>"R$ 2.589,38"</f>
        <v>R$ 2.589,38</v>
      </c>
      <c r="H183" t="str">
        <f t="shared" si="12"/>
        <v>R$ 0,00</v>
      </c>
      <c r="I183" t="str">
        <f>"R$ 2.589,38"</f>
        <v>R$ 2.589,38</v>
      </c>
      <c r="J183" t="str">
        <f>"R$ 560,18"</f>
        <v>R$ 560,18</v>
      </c>
      <c r="K183" t="str">
        <f>"R$ 2.029,20"</f>
        <v>R$ 2.029,20</v>
      </c>
    </row>
    <row r="184" spans="1:11" x14ac:dyDescent="0.25">
      <c r="A184" t="str">
        <f>"00002470 / 2"</f>
        <v>00002470 / 2</v>
      </c>
      <c r="B184" t="str">
        <f>"13° Salário Anual"</f>
        <v>13° Salário Anual</v>
      </c>
      <c r="C184" t="str">
        <f>"Antonia Wilma Bastos de Moura"</f>
        <v>Antonia Wilma Bastos de Moura</v>
      </c>
      <c r="D184" t="str">
        <f>"PROFESSOR NIVEL II"</f>
        <v>PROFESSOR NIVEL II</v>
      </c>
      <c r="E184" t="str">
        <f>"Efetivo-Inativos II-RJUSM"</f>
        <v>Efetivo-Inativos II-RJUSM</v>
      </c>
      <c r="F184" t="str">
        <f>"R$ 5.736,47"</f>
        <v>R$ 5.736,47</v>
      </c>
      <c r="G184" t="str">
        <f>"R$ 7.170,58"</f>
        <v>R$ 7.170,58</v>
      </c>
      <c r="H184" t="str">
        <f t="shared" si="12"/>
        <v>R$ 0,00</v>
      </c>
      <c r="I184" t="str">
        <f>"R$ 7.170,58"</f>
        <v>R$ 7.170,58</v>
      </c>
      <c r="J184" t="str">
        <f>"R$ 4.744,25"</f>
        <v>R$ 4.744,25</v>
      </c>
      <c r="K184" t="str">
        <f>"R$ 2.426,33"</f>
        <v>R$ 2.426,33</v>
      </c>
    </row>
    <row r="185" spans="1:11" x14ac:dyDescent="0.25">
      <c r="A185" t="str">
        <f>"00002470 / 2"</f>
        <v>00002470 / 2</v>
      </c>
      <c r="B185" t="str">
        <f>"Folha Mensal"</f>
        <v>Folha Mensal</v>
      </c>
      <c r="C185" t="str">
        <f>"Antonia Wilma Bastos de Moura"</f>
        <v>Antonia Wilma Bastos de Moura</v>
      </c>
      <c r="D185" t="str">
        <f>"PROFESSOR NIVEL II"</f>
        <v>PROFESSOR NIVEL II</v>
      </c>
      <c r="E185" t="str">
        <f>"Efetivo-Inativos II-RJUSM"</f>
        <v>Efetivo-Inativos II-RJUSM</v>
      </c>
      <c r="F185" t="str">
        <f>"R$ 5.736,47"</f>
        <v>R$ 5.736,47</v>
      </c>
      <c r="G185" t="str">
        <f>"R$ 7.170,58"</f>
        <v>R$ 7.170,58</v>
      </c>
      <c r="H185" t="str">
        <f t="shared" si="12"/>
        <v>R$ 0,00</v>
      </c>
      <c r="I185" t="str">
        <f>"R$ 7.170,58"</f>
        <v>R$ 7.170,58</v>
      </c>
      <c r="J185" t="str">
        <f>"R$ 2.938,43"</f>
        <v>R$ 2.938,43</v>
      </c>
      <c r="K185" t="str">
        <f>"R$ 4.232,15"</f>
        <v>R$ 4.232,15</v>
      </c>
    </row>
    <row r="186" spans="1:11" x14ac:dyDescent="0.25">
      <c r="A186" t="str">
        <f>"00406317 / 1"</f>
        <v>00406317 / 1</v>
      </c>
      <c r="B186" t="str">
        <f>"13° Salário Anual"</f>
        <v>13° Salário Anual</v>
      </c>
      <c r="C186" t="str">
        <f>"Antonio Ferreira de Oliveira"</f>
        <v>Antonio Ferreira de Oliveira</v>
      </c>
      <c r="D186" t="str">
        <f>"PENSIONISTA"</f>
        <v>PENSIONISTA</v>
      </c>
      <c r="E186" t="str">
        <f>"Pensionista"</f>
        <v>Pensionista</v>
      </c>
      <c r="F186" t="str">
        <f>"R$ 3.059,37"</f>
        <v>R$ 3.059,37</v>
      </c>
      <c r="G186" t="str">
        <f>"R$ 3.824,21"</f>
        <v>R$ 3.824,21</v>
      </c>
      <c r="H186" t="str">
        <f t="shared" si="12"/>
        <v>R$ 0,00</v>
      </c>
      <c r="I186" t="str">
        <f>"R$ 3.824,21"</f>
        <v>R$ 3.824,21</v>
      </c>
      <c r="J186" t="str">
        <f>"R$ 1.913,31"</f>
        <v>R$ 1.913,31</v>
      </c>
      <c r="K186" t="str">
        <f>"R$ 1.910,90"</f>
        <v>R$ 1.910,90</v>
      </c>
    </row>
    <row r="187" spans="1:11" x14ac:dyDescent="0.25">
      <c r="A187" t="str">
        <f>"00406317 / 1"</f>
        <v>00406317 / 1</v>
      </c>
      <c r="B187" t="str">
        <f>"Folha Mensal"</f>
        <v>Folha Mensal</v>
      </c>
      <c r="C187" t="str">
        <f>"Antonio Ferreira de Oliveira"</f>
        <v>Antonio Ferreira de Oliveira</v>
      </c>
      <c r="D187" t="str">
        <f>"PENSIONISTA"</f>
        <v>PENSIONISTA</v>
      </c>
      <c r="E187" t="str">
        <f>"Pensionista"</f>
        <v>Pensionista</v>
      </c>
      <c r="F187" t="str">
        <f>"R$ 3.059,37"</f>
        <v>R$ 3.059,37</v>
      </c>
      <c r="G187" t="str">
        <f>"R$ 3.824,21"</f>
        <v>R$ 3.824,21</v>
      </c>
      <c r="H187" t="str">
        <f t="shared" si="12"/>
        <v>R$ 0,00</v>
      </c>
      <c r="I187" t="str">
        <f>"R$ 3.824,21"</f>
        <v>R$ 3.824,21</v>
      </c>
      <c r="J187" t="str">
        <f>"R$ 1.139,02"</f>
        <v>R$ 1.139,02</v>
      </c>
      <c r="K187" t="str">
        <f>"R$ 2.685,19"</f>
        <v>R$ 2.685,19</v>
      </c>
    </row>
    <row r="188" spans="1:11" x14ac:dyDescent="0.25">
      <c r="A188" t="str">
        <f>"00055085 / 1"</f>
        <v>00055085 / 1</v>
      </c>
      <c r="B188" t="str">
        <f>"13° Salário Anual"</f>
        <v>13° Salário Anual</v>
      </c>
      <c r="C188" t="str">
        <f>"Antonio Geraldo Rodrigues de Brito"</f>
        <v>Antonio Geraldo Rodrigues de Brito</v>
      </c>
      <c r="D188" t="str">
        <f>"INT TEMP CONTRIBUICAO"</f>
        <v>INT TEMP CONTRIBUICAO</v>
      </c>
      <c r="E188" t="str">
        <f>"Efetivo-Inativos II-RJUSM"</f>
        <v>Efetivo-Inativos II-RJUSM</v>
      </c>
      <c r="F188" t="str">
        <f>"R$ 1.548,36"</f>
        <v>R$ 1.548,36</v>
      </c>
      <c r="G188" t="str">
        <f>"R$ 1.858,03"</f>
        <v>R$ 1.858,03</v>
      </c>
      <c r="H188" t="str">
        <f t="shared" si="12"/>
        <v>R$ 0,00</v>
      </c>
      <c r="I188" t="str">
        <f>"R$ 1.858,03"</f>
        <v>R$ 1.858,03</v>
      </c>
      <c r="J188" t="str">
        <f>"R$ 929,01"</f>
        <v>R$ 929,01</v>
      </c>
      <c r="K188" t="str">
        <f>"R$ 929,02"</f>
        <v>R$ 929,02</v>
      </c>
    </row>
    <row r="189" spans="1:11" x14ac:dyDescent="0.25">
      <c r="A189" t="str">
        <f>"00055085 / 1"</f>
        <v>00055085 / 1</v>
      </c>
      <c r="B189" t="str">
        <f>"Folha Mensal"</f>
        <v>Folha Mensal</v>
      </c>
      <c r="C189" t="str">
        <f>"Antonio Geraldo Rodrigues de Brito"</f>
        <v>Antonio Geraldo Rodrigues de Brito</v>
      </c>
      <c r="D189" t="str">
        <f>"INT TEMP CONTRIBUICAO"</f>
        <v>INT TEMP CONTRIBUICAO</v>
      </c>
      <c r="E189" t="str">
        <f>"Efetivo-Inativos II-RJUSM"</f>
        <v>Efetivo-Inativos II-RJUSM</v>
      </c>
      <c r="F189" t="str">
        <f>"R$ 1.548,36"</f>
        <v>R$ 1.548,36</v>
      </c>
      <c r="G189" t="str">
        <f>"R$ 1.858,03"</f>
        <v>R$ 1.858,03</v>
      </c>
      <c r="H189" t="str">
        <f t="shared" si="12"/>
        <v>R$ 0,00</v>
      </c>
      <c r="I189" t="str">
        <f>"R$ 1.858,03"</f>
        <v>R$ 1.858,03</v>
      </c>
      <c r="J189" t="str">
        <f>"R$ 0,00"</f>
        <v>R$ 0,00</v>
      </c>
      <c r="K189" t="str">
        <f>"R$ 1.858,03"</f>
        <v>R$ 1.858,03</v>
      </c>
    </row>
    <row r="190" spans="1:11" x14ac:dyDescent="0.25">
      <c r="A190" t="str">
        <f>"03642070 / 1"</f>
        <v>03642070 / 1</v>
      </c>
      <c r="B190" t="str">
        <f>"13° Salário Anual"</f>
        <v>13° Salário Anual</v>
      </c>
      <c r="C190" t="str">
        <f>"Antonio Paiva Brito"</f>
        <v>Antonio Paiva Brito</v>
      </c>
      <c r="D190" t="str">
        <f>"PENSIONISTA"</f>
        <v>PENSIONISTA</v>
      </c>
      <c r="E190" t="str">
        <f>"Pensionista"</f>
        <v>Pensionista</v>
      </c>
      <c r="F190" t="str">
        <f>"R$ 698,35"</f>
        <v>R$ 698,35</v>
      </c>
      <c r="G190" t="str">
        <f>"R$ 1.100,00"</f>
        <v>R$ 1.100,00</v>
      </c>
      <c r="H190" t="str">
        <f t="shared" ref="H190:H221" si="15">"R$ 0,00"</f>
        <v>R$ 0,00</v>
      </c>
      <c r="I190" t="str">
        <f>"R$ 1.100,00"</f>
        <v>R$ 1.100,00</v>
      </c>
      <c r="J190" t="str">
        <f>"R$ 550,00"</f>
        <v>R$ 550,00</v>
      </c>
      <c r="K190" t="str">
        <f>"R$ 550,00"</f>
        <v>R$ 550,00</v>
      </c>
    </row>
    <row r="191" spans="1:11" x14ac:dyDescent="0.25">
      <c r="A191" t="str">
        <f>"03642070 / 1"</f>
        <v>03642070 / 1</v>
      </c>
      <c r="B191" t="str">
        <f>"Folha Mensal"</f>
        <v>Folha Mensal</v>
      </c>
      <c r="C191" t="str">
        <f>"Antonio Paiva Brito"</f>
        <v>Antonio Paiva Brito</v>
      </c>
      <c r="D191" t="str">
        <f>"PENSIONISTA"</f>
        <v>PENSIONISTA</v>
      </c>
      <c r="E191" t="str">
        <f>"Pensionista"</f>
        <v>Pensionista</v>
      </c>
      <c r="F191" t="str">
        <f>"R$ 698,35"</f>
        <v>R$ 698,35</v>
      </c>
      <c r="G191" t="str">
        <f>"R$ 1.100,00"</f>
        <v>R$ 1.100,00</v>
      </c>
      <c r="H191" t="str">
        <f t="shared" si="15"/>
        <v>R$ 0,00</v>
      </c>
      <c r="I191" t="str">
        <f>"R$ 1.100,00"</f>
        <v>R$ 1.100,00</v>
      </c>
      <c r="J191" t="str">
        <f>"R$ 310,66"</f>
        <v>R$ 310,66</v>
      </c>
      <c r="K191" t="str">
        <f>"R$ 789,34"</f>
        <v>R$ 789,34</v>
      </c>
    </row>
    <row r="192" spans="1:11" x14ac:dyDescent="0.25">
      <c r="A192" t="str">
        <f>"03640922 / 1"</f>
        <v>03640922 / 1</v>
      </c>
      <c r="B192" t="str">
        <f>"13° Salário Anual"</f>
        <v>13° Salário Anual</v>
      </c>
      <c r="C192" t="str">
        <f>"Antonio Pedro Machado do Nascimento"</f>
        <v>Antonio Pedro Machado do Nascimento</v>
      </c>
      <c r="D192" t="str">
        <f>"ASS. ADM. LEGISLATIVO"</f>
        <v>ASS. ADM. LEGISLATIVO</v>
      </c>
      <c r="E192" t="str">
        <f>"Efetivo-Inativos II-RJUSM"</f>
        <v>Efetivo-Inativos II-RJUSM</v>
      </c>
      <c r="F192" t="str">
        <f>"R$ 4.338,27"</f>
        <v>R$ 4.338,27</v>
      </c>
      <c r="G192" t="str">
        <f>"R$ 8.495,78"</f>
        <v>R$ 8.495,78</v>
      </c>
      <c r="H192" t="str">
        <f t="shared" si="15"/>
        <v>R$ 0,00</v>
      </c>
      <c r="I192" t="str">
        <f>"R$ 8.495,78"</f>
        <v>R$ 8.495,78</v>
      </c>
      <c r="J192" t="str">
        <f>"R$ 5.957,93"</f>
        <v>R$ 5.957,93</v>
      </c>
      <c r="K192" t="str">
        <f>"R$ 2.537,85"</f>
        <v>R$ 2.537,85</v>
      </c>
    </row>
    <row r="193" spans="1:11" x14ac:dyDescent="0.25">
      <c r="A193" t="str">
        <f>"03640922 / 1"</f>
        <v>03640922 / 1</v>
      </c>
      <c r="B193" t="str">
        <f>"Folha Mensal"</f>
        <v>Folha Mensal</v>
      </c>
      <c r="C193" t="str">
        <f>"Antonio Pedro Machado do Nascimento"</f>
        <v>Antonio Pedro Machado do Nascimento</v>
      </c>
      <c r="D193" t="str">
        <f>"ASS. ADM. LEGISLATIVO"</f>
        <v>ASS. ADM. LEGISLATIVO</v>
      </c>
      <c r="E193" t="str">
        <f>"Efetivo-Inativos II-RJUSM"</f>
        <v>Efetivo-Inativos II-RJUSM</v>
      </c>
      <c r="F193" t="str">
        <f>"R$ 4.338,27"</f>
        <v>R$ 4.338,27</v>
      </c>
      <c r="G193" t="str">
        <f>"R$ 10.194,94"</f>
        <v>R$ 10.194,94</v>
      </c>
      <c r="H193" t="str">
        <f t="shared" si="15"/>
        <v>R$ 0,00</v>
      </c>
      <c r="I193" t="str">
        <f>"R$ 10.194,94"</f>
        <v>R$ 10.194,94</v>
      </c>
      <c r="J193" t="str">
        <f>"R$ 1.533,09"</f>
        <v>R$ 1.533,09</v>
      </c>
      <c r="K193" t="str">
        <f>"R$ 8.661,85"</f>
        <v>R$ 8.661,85</v>
      </c>
    </row>
    <row r="194" spans="1:11" x14ac:dyDescent="0.25">
      <c r="A194" t="str">
        <f>"00003484 / 1"</f>
        <v>00003484 / 1</v>
      </c>
      <c r="B194" t="str">
        <f>"13° Salário Anual"</f>
        <v>13° Salário Anual</v>
      </c>
      <c r="C194" t="str">
        <f>"Aracirema Maria Gomes Melo Lima"</f>
        <v>Aracirema Maria Gomes Melo Lima</v>
      </c>
      <c r="D194" t="str">
        <f>"PROP IDADE"</f>
        <v>PROP IDADE</v>
      </c>
      <c r="E194" t="str">
        <f>"Efetivo-Inativo I- RJUSM"</f>
        <v>Efetivo-Inativo I- RJUSM</v>
      </c>
      <c r="F194" t="str">
        <f>"R$ 1.100,00"</f>
        <v>R$ 1.100,00</v>
      </c>
      <c r="G194" t="str">
        <f>"R$ 1.100,00"</f>
        <v>R$ 1.100,00</v>
      </c>
      <c r="H194" t="str">
        <f t="shared" si="15"/>
        <v>R$ 0,00</v>
      </c>
      <c r="I194" t="str">
        <f>"R$ 1.100,00"</f>
        <v>R$ 1.100,00</v>
      </c>
      <c r="J194" t="str">
        <f>"R$ 550,00"</f>
        <v>R$ 550,00</v>
      </c>
      <c r="K194" t="str">
        <f>"R$ 550,00"</f>
        <v>R$ 550,00</v>
      </c>
    </row>
    <row r="195" spans="1:11" x14ac:dyDescent="0.25">
      <c r="A195" t="str">
        <f>"00003484 / 1"</f>
        <v>00003484 / 1</v>
      </c>
      <c r="B195" t="str">
        <f>"Folha Mensal"</f>
        <v>Folha Mensal</v>
      </c>
      <c r="C195" t="str">
        <f>"Aracirema Maria Gomes Melo Lima"</f>
        <v>Aracirema Maria Gomes Melo Lima</v>
      </c>
      <c r="D195" t="str">
        <f>"PROP IDADE"</f>
        <v>PROP IDADE</v>
      </c>
      <c r="E195" t="str">
        <f>"Efetivo-Inativo I- RJUSM"</f>
        <v>Efetivo-Inativo I- RJUSM</v>
      </c>
      <c r="F195" t="str">
        <f>"R$ 1.100,00"</f>
        <v>R$ 1.100,00</v>
      </c>
      <c r="G195" t="str">
        <f>"R$ 1.100,00"</f>
        <v>R$ 1.100,00</v>
      </c>
      <c r="H195" t="str">
        <f t="shared" si="15"/>
        <v>R$ 0,00</v>
      </c>
      <c r="I195" t="str">
        <f>"R$ 1.100,00"</f>
        <v>R$ 1.100,00</v>
      </c>
      <c r="J195" t="str">
        <f>"R$ 0,00"</f>
        <v>R$ 0,00</v>
      </c>
      <c r="K195" t="str">
        <f>"R$ 1.100,00"</f>
        <v>R$ 1.100,00</v>
      </c>
    </row>
    <row r="196" spans="1:11" x14ac:dyDescent="0.25">
      <c r="A196" t="str">
        <f>"00031399 / 1"</f>
        <v>00031399 / 1</v>
      </c>
      <c r="B196" t="str">
        <f>"13° Salário Anual"</f>
        <v>13° Salário Anual</v>
      </c>
      <c r="C196" t="str">
        <f>"Arlete Costa dos Santos"</f>
        <v>Arlete Costa dos Santos</v>
      </c>
      <c r="D196" t="str">
        <f>"PROFESSOR NIVEL III"</f>
        <v>PROFESSOR NIVEL III</v>
      </c>
      <c r="E196" t="str">
        <f>"Efetivo-Inativos II-RJUSM"</f>
        <v>Efetivo-Inativos II-RJUSM</v>
      </c>
      <c r="F196" t="str">
        <f>"R$ 6.055,17"</f>
        <v>R$ 6.055,17</v>
      </c>
      <c r="G196" t="str">
        <f>"R$ 7.871,72"</f>
        <v>R$ 7.871,72</v>
      </c>
      <c r="H196" t="str">
        <f t="shared" si="15"/>
        <v>R$ 0,00</v>
      </c>
      <c r="I196" t="str">
        <f>"R$ 7.871,72"</f>
        <v>R$ 7.871,72</v>
      </c>
      <c r="J196" t="str">
        <f>"R$ 5.410,94"</f>
        <v>R$ 5.410,94</v>
      </c>
      <c r="K196" t="str">
        <f>"R$ 2.460,78"</f>
        <v>R$ 2.460,78</v>
      </c>
    </row>
    <row r="197" spans="1:11" x14ac:dyDescent="0.25">
      <c r="A197" t="str">
        <f>"00031399 / 1"</f>
        <v>00031399 / 1</v>
      </c>
      <c r="B197" t="str">
        <f>"Folha Mensal"</f>
        <v>Folha Mensal</v>
      </c>
      <c r="C197" t="str">
        <f>"Arlete Costa dos Santos"</f>
        <v>Arlete Costa dos Santos</v>
      </c>
      <c r="D197" t="str">
        <f>"PROFESSOR NIVEL III"</f>
        <v>PROFESSOR NIVEL III</v>
      </c>
      <c r="E197" t="str">
        <f>"Efetivo-Inativos II-RJUSM"</f>
        <v>Efetivo-Inativos II-RJUSM</v>
      </c>
      <c r="F197" t="str">
        <f>"R$ 6.055,17"</f>
        <v>R$ 6.055,17</v>
      </c>
      <c r="G197" t="str">
        <f>"R$ 7.871,72"</f>
        <v>R$ 7.871,72</v>
      </c>
      <c r="H197" t="str">
        <f t="shared" si="15"/>
        <v>R$ 0,00</v>
      </c>
      <c r="I197" t="str">
        <f>"R$ 7.871,72"</f>
        <v>R$ 7.871,72</v>
      </c>
      <c r="J197" t="str">
        <f>"R$ 3.336,83"</f>
        <v>R$ 3.336,83</v>
      </c>
      <c r="K197" t="str">
        <f>"R$ 4.534,89"</f>
        <v>R$ 4.534,89</v>
      </c>
    </row>
    <row r="198" spans="1:11" x14ac:dyDescent="0.25">
      <c r="A198" t="str">
        <f>"00015172 / 1"</f>
        <v>00015172 / 1</v>
      </c>
      <c r="B198" t="str">
        <f>"13° Salário Anual"</f>
        <v>13° Salário Anual</v>
      </c>
      <c r="C198" t="str">
        <f>"Arlete Ferreira Queiroz"</f>
        <v>Arlete Ferreira Queiroz</v>
      </c>
      <c r="D198" t="str">
        <f>"INT TEMP CONTRIBUICAO"</f>
        <v>INT TEMP CONTRIBUICAO</v>
      </c>
      <c r="E198" t="str">
        <f>"Efetivo-Inativo I- RJUSM"</f>
        <v>Efetivo-Inativo I- RJUSM</v>
      </c>
      <c r="F198" t="str">
        <f>"R$ 1.100,00"</f>
        <v>R$ 1.100,00</v>
      </c>
      <c r="G198" t="str">
        <f>"R$ 1.375,00"</f>
        <v>R$ 1.375,00</v>
      </c>
      <c r="H198" t="str">
        <f t="shared" si="15"/>
        <v>R$ 0,00</v>
      </c>
      <c r="I198" t="str">
        <f>"R$ 1.375,00"</f>
        <v>R$ 1.375,00</v>
      </c>
      <c r="J198" t="str">
        <f>"R$ 687,50"</f>
        <v>R$ 687,50</v>
      </c>
      <c r="K198" t="str">
        <f>"R$ 687,50"</f>
        <v>R$ 687,50</v>
      </c>
    </row>
    <row r="199" spans="1:11" x14ac:dyDescent="0.25">
      <c r="A199" t="str">
        <f>"00015172 / 1"</f>
        <v>00015172 / 1</v>
      </c>
      <c r="B199" t="str">
        <f>"Folha Mensal"</f>
        <v>Folha Mensal</v>
      </c>
      <c r="C199" t="str">
        <f>"Arlete Ferreira Queiroz"</f>
        <v>Arlete Ferreira Queiroz</v>
      </c>
      <c r="D199" t="str">
        <f>"INT TEMP CONTRIBUICAO"</f>
        <v>INT TEMP CONTRIBUICAO</v>
      </c>
      <c r="E199" t="str">
        <f>"Efetivo-Inativo I- RJUSM"</f>
        <v>Efetivo-Inativo I- RJUSM</v>
      </c>
      <c r="F199" t="str">
        <f>"R$ 1.100,00"</f>
        <v>R$ 1.100,00</v>
      </c>
      <c r="G199" t="str">
        <f>"R$ 1.375,00"</f>
        <v>R$ 1.375,00</v>
      </c>
      <c r="H199" t="str">
        <f t="shared" si="15"/>
        <v>R$ 0,00</v>
      </c>
      <c r="I199" t="str">
        <f>"R$ 1.375,00"</f>
        <v>R$ 1.375,00</v>
      </c>
      <c r="J199" t="str">
        <f>"R$ 367,53"</f>
        <v>R$ 367,53</v>
      </c>
      <c r="K199" t="str">
        <f>"R$ 1.007,47"</f>
        <v>R$ 1.007,47</v>
      </c>
    </row>
    <row r="200" spans="1:11" x14ac:dyDescent="0.25">
      <c r="A200" t="str">
        <f>"00058564 / 2"</f>
        <v>00058564 / 2</v>
      </c>
      <c r="B200" t="str">
        <f>"13° Salário Anual"</f>
        <v>13° Salário Anual</v>
      </c>
      <c r="C200" t="str">
        <f>"Arlete Monteiro Moreira"</f>
        <v>Arlete Monteiro Moreira</v>
      </c>
      <c r="D200" t="str">
        <f>"PROFESSOR NIVEL II"</f>
        <v>PROFESSOR NIVEL II</v>
      </c>
      <c r="E200" t="str">
        <f t="shared" ref="E200:E207" si="16">"Efetivo-Inativos II-RJUSM"</f>
        <v>Efetivo-Inativos II-RJUSM</v>
      </c>
      <c r="F200" t="str">
        <f>"R$ 2.469,87"</f>
        <v>R$ 2.469,87</v>
      </c>
      <c r="G200" t="str">
        <f>"R$ 2.840,35"</f>
        <v>R$ 2.840,35</v>
      </c>
      <c r="H200" t="str">
        <f t="shared" si="15"/>
        <v>R$ 0,00</v>
      </c>
      <c r="I200" t="str">
        <f>"R$ 2.840,35"</f>
        <v>R$ 2.840,35</v>
      </c>
      <c r="J200" t="str">
        <f>"R$ 1.420,17"</f>
        <v>R$ 1.420,17</v>
      </c>
      <c r="K200" t="str">
        <f>"R$ 1.420,18"</f>
        <v>R$ 1.420,18</v>
      </c>
    </row>
    <row r="201" spans="1:11" x14ac:dyDescent="0.25">
      <c r="A201" t="str">
        <f>"00058564 / 2"</f>
        <v>00058564 / 2</v>
      </c>
      <c r="B201" t="str">
        <f>"Folha Mensal"</f>
        <v>Folha Mensal</v>
      </c>
      <c r="C201" t="str">
        <f>"Arlete Monteiro Moreira"</f>
        <v>Arlete Monteiro Moreira</v>
      </c>
      <c r="D201" t="str">
        <f>"PROFESSOR NIVEL II"</f>
        <v>PROFESSOR NIVEL II</v>
      </c>
      <c r="E201" t="str">
        <f t="shared" si="16"/>
        <v>Efetivo-Inativos II-RJUSM</v>
      </c>
      <c r="F201" t="str">
        <f>"R$ 2.469,87"</f>
        <v>R$ 2.469,87</v>
      </c>
      <c r="G201" t="str">
        <f>"R$ 2.840,35"</f>
        <v>R$ 2.840,35</v>
      </c>
      <c r="H201" t="str">
        <f t="shared" si="15"/>
        <v>R$ 0,00</v>
      </c>
      <c r="I201" t="str">
        <f>"R$ 2.840,35"</f>
        <v>R$ 2.840,35</v>
      </c>
      <c r="J201" t="str">
        <f>"R$ 0,00"</f>
        <v>R$ 0,00</v>
      </c>
      <c r="K201" t="str">
        <f>"R$ 2.840,35"</f>
        <v>R$ 2.840,35</v>
      </c>
    </row>
    <row r="202" spans="1:11" x14ac:dyDescent="0.25">
      <c r="A202" t="str">
        <f>"00052019 / 2"</f>
        <v>00052019 / 2</v>
      </c>
      <c r="B202" t="str">
        <f>"13° Salário Anual"</f>
        <v>13° Salário Anual</v>
      </c>
      <c r="C202" t="str">
        <f>"Arlete Regina Gomes Santos"</f>
        <v>Arlete Regina Gomes Santos</v>
      </c>
      <c r="D202" t="str">
        <f>"PROFESSOR NIVEL III"</f>
        <v>PROFESSOR NIVEL III</v>
      </c>
      <c r="E202" t="str">
        <f t="shared" si="16"/>
        <v>Efetivo-Inativos II-RJUSM</v>
      </c>
      <c r="F202" t="str">
        <f>"R$ 2.708,90"</f>
        <v>R$ 2.708,90</v>
      </c>
      <c r="G202" t="str">
        <f>"R$ 3.250,68"</f>
        <v>R$ 3.250,68</v>
      </c>
      <c r="H202" t="str">
        <f t="shared" si="15"/>
        <v>R$ 0,00</v>
      </c>
      <c r="I202" t="str">
        <f>"R$ 3.250,68"</f>
        <v>R$ 3.250,68</v>
      </c>
      <c r="J202" t="str">
        <f>"R$ 1.758,14"</f>
        <v>R$ 1.758,14</v>
      </c>
      <c r="K202" t="str">
        <f>"R$ 1.492,54"</f>
        <v>R$ 1.492,54</v>
      </c>
    </row>
    <row r="203" spans="1:11" x14ac:dyDescent="0.25">
      <c r="A203" t="str">
        <f>"00052019 / 2"</f>
        <v>00052019 / 2</v>
      </c>
      <c r="B203" t="str">
        <f>"Folha Mensal"</f>
        <v>Folha Mensal</v>
      </c>
      <c r="C203" t="str">
        <f>"Arlete Regina Gomes Santos"</f>
        <v>Arlete Regina Gomes Santos</v>
      </c>
      <c r="D203" t="str">
        <f>"PROFESSOR NIVEL III"</f>
        <v>PROFESSOR NIVEL III</v>
      </c>
      <c r="E203" t="str">
        <f t="shared" si="16"/>
        <v>Efetivo-Inativos II-RJUSM</v>
      </c>
      <c r="F203" t="str">
        <f>"R$ 2.708,90"</f>
        <v>R$ 2.708,90</v>
      </c>
      <c r="G203" t="str">
        <f>"R$ 3.250,68"</f>
        <v>R$ 3.250,68</v>
      </c>
      <c r="H203" t="str">
        <f t="shared" si="15"/>
        <v>R$ 0,00</v>
      </c>
      <c r="I203" t="str">
        <f>"R$ 3.250,68"</f>
        <v>R$ 3.250,68</v>
      </c>
      <c r="J203" t="str">
        <f>"R$ 132,80"</f>
        <v>R$ 132,80</v>
      </c>
      <c r="K203" t="str">
        <f>"R$ 3.117,88"</f>
        <v>R$ 3.117,88</v>
      </c>
    </row>
    <row r="204" spans="1:11" x14ac:dyDescent="0.25">
      <c r="A204" t="str">
        <f>"00023396 / 1"</f>
        <v>00023396 / 1</v>
      </c>
      <c r="B204" t="str">
        <f>"13° Salário Anual"</f>
        <v>13° Salário Anual</v>
      </c>
      <c r="C204" t="str">
        <f>"Assima Martins de Sousa"</f>
        <v>Assima Martins de Sousa</v>
      </c>
      <c r="D204" t="str">
        <f>"AUXILIAR MUNICIPAL"</f>
        <v>AUXILIAR MUNICIPAL</v>
      </c>
      <c r="E204" t="str">
        <f t="shared" si="16"/>
        <v>Efetivo-Inativos II-RJUSM</v>
      </c>
      <c r="F204" t="str">
        <f>"R$ 1.100,00"</f>
        <v>R$ 1.100,00</v>
      </c>
      <c r="G204" t="str">
        <f>"R$ 1.485,00"</f>
        <v>R$ 1.485,00</v>
      </c>
      <c r="H204" t="str">
        <f t="shared" si="15"/>
        <v>R$ 0,00</v>
      </c>
      <c r="I204" t="str">
        <f>"R$ 1.485,00"</f>
        <v>R$ 1.485,00</v>
      </c>
      <c r="J204" t="str">
        <f>"R$ 742,50"</f>
        <v>R$ 742,50</v>
      </c>
      <c r="K204" t="str">
        <f>"R$ 742,50"</f>
        <v>R$ 742,50</v>
      </c>
    </row>
    <row r="205" spans="1:11" x14ac:dyDescent="0.25">
      <c r="A205" t="str">
        <f>"00023396 / 1"</f>
        <v>00023396 / 1</v>
      </c>
      <c r="B205" t="str">
        <f>"Folha Mensal"</f>
        <v>Folha Mensal</v>
      </c>
      <c r="C205" t="str">
        <f>"Assima Martins de Sousa"</f>
        <v>Assima Martins de Sousa</v>
      </c>
      <c r="D205" t="str">
        <f>"AUXILIAR MUNICIPAL"</f>
        <v>AUXILIAR MUNICIPAL</v>
      </c>
      <c r="E205" t="str">
        <f t="shared" si="16"/>
        <v>Efetivo-Inativos II-RJUSM</v>
      </c>
      <c r="F205" t="str">
        <f>"R$ 1.100,00"</f>
        <v>R$ 1.100,00</v>
      </c>
      <c r="G205" t="str">
        <f>"R$ 1.485,00"</f>
        <v>R$ 1.485,00</v>
      </c>
      <c r="H205" t="str">
        <f t="shared" si="15"/>
        <v>R$ 0,00</v>
      </c>
      <c r="I205" t="str">
        <f>"R$ 1.485,00"</f>
        <v>R$ 1.485,00</v>
      </c>
      <c r="J205" t="str">
        <f>"R$ 0,00"</f>
        <v>R$ 0,00</v>
      </c>
      <c r="K205" t="str">
        <f>"R$ 1.485,00"</f>
        <v>R$ 1.485,00</v>
      </c>
    </row>
    <row r="206" spans="1:11" x14ac:dyDescent="0.25">
      <c r="A206" t="str">
        <f>"00026336 / 1"</f>
        <v>00026336 / 1</v>
      </c>
      <c r="B206" t="str">
        <f>"13° Salário Anual"</f>
        <v>13° Salário Anual</v>
      </c>
      <c r="C206" t="str">
        <f>"Atila Silvana Espirito Santo Bastos"</f>
        <v>Atila Silvana Espirito Santo Bastos</v>
      </c>
      <c r="D206" t="str">
        <f>"PROFESSOR NIVEL III"</f>
        <v>PROFESSOR NIVEL III</v>
      </c>
      <c r="E206" t="str">
        <f t="shared" si="16"/>
        <v>Efetivo-Inativos II-RJUSM</v>
      </c>
      <c r="F206" t="str">
        <f>"R$ 6.055,17"</f>
        <v>R$ 6.055,17</v>
      </c>
      <c r="G206" t="str">
        <f>"R$ 7.871,72"</f>
        <v>R$ 7.871,72</v>
      </c>
      <c r="H206" t="str">
        <f t="shared" si="15"/>
        <v>R$ 0,00</v>
      </c>
      <c r="I206" t="str">
        <f>"R$ 7.871,72"</f>
        <v>R$ 7.871,72</v>
      </c>
      <c r="J206" t="str">
        <f>"R$ 5.410,94"</f>
        <v>R$ 5.410,94</v>
      </c>
      <c r="K206" t="str">
        <f>"R$ 2.460,78"</f>
        <v>R$ 2.460,78</v>
      </c>
    </row>
    <row r="207" spans="1:11" x14ac:dyDescent="0.25">
      <c r="A207" t="str">
        <f>"00026336 / 1"</f>
        <v>00026336 / 1</v>
      </c>
      <c r="B207" t="str">
        <f>"Folha Mensal"</f>
        <v>Folha Mensal</v>
      </c>
      <c r="C207" t="str">
        <f>"Atila Silvana Espirito Santo Bastos"</f>
        <v>Atila Silvana Espirito Santo Bastos</v>
      </c>
      <c r="D207" t="str">
        <f>"PROFESSOR NIVEL III"</f>
        <v>PROFESSOR NIVEL III</v>
      </c>
      <c r="E207" t="str">
        <f t="shared" si="16"/>
        <v>Efetivo-Inativos II-RJUSM</v>
      </c>
      <c r="F207" t="str">
        <f>"R$ 6.055,17"</f>
        <v>R$ 6.055,17</v>
      </c>
      <c r="G207" t="str">
        <f>"R$ 7.871,72"</f>
        <v>R$ 7.871,72</v>
      </c>
      <c r="H207" t="str">
        <f t="shared" si="15"/>
        <v>R$ 0,00</v>
      </c>
      <c r="I207" t="str">
        <f>"R$ 7.871,72"</f>
        <v>R$ 7.871,72</v>
      </c>
      <c r="J207" t="str">
        <f>"R$ 3.672,65"</f>
        <v>R$ 3.672,65</v>
      </c>
      <c r="K207" t="str">
        <f>"R$ 4.199,07"</f>
        <v>R$ 4.199,07</v>
      </c>
    </row>
    <row r="208" spans="1:11" x14ac:dyDescent="0.25">
      <c r="A208" t="str">
        <f>"00007390 / 1"</f>
        <v>00007390 / 1</v>
      </c>
      <c r="B208" t="str">
        <f>"13° Salário Anual"</f>
        <v>13° Salário Anual</v>
      </c>
      <c r="C208" t="str">
        <f>"Auzarina Borges Ferreira Aleixo"</f>
        <v>Auzarina Borges Ferreira Aleixo</v>
      </c>
      <c r="D208" t="str">
        <f>"PROP IDADE"</f>
        <v>PROP IDADE</v>
      </c>
      <c r="E208" t="str">
        <f t="shared" ref="E208:E215" si="17">"Efetivo-Inativo I- RJUSM"</f>
        <v>Efetivo-Inativo I- RJUSM</v>
      </c>
      <c r="F208" t="str">
        <f>"R$ 500,43"</f>
        <v>R$ 500,43</v>
      </c>
      <c r="G208" t="str">
        <f>"R$ 1.100,00"</f>
        <v>R$ 1.100,00</v>
      </c>
      <c r="H208" t="str">
        <f t="shared" si="15"/>
        <v>R$ 0,00</v>
      </c>
      <c r="I208" t="str">
        <f>"R$ 1.100,00"</f>
        <v>R$ 1.100,00</v>
      </c>
      <c r="J208" t="str">
        <f>"R$ 550,00"</f>
        <v>R$ 550,00</v>
      </c>
      <c r="K208" t="str">
        <f>"R$ 550,00"</f>
        <v>R$ 550,00</v>
      </c>
    </row>
    <row r="209" spans="1:11" x14ac:dyDescent="0.25">
      <c r="A209" t="str">
        <f>"00007390 / 1"</f>
        <v>00007390 / 1</v>
      </c>
      <c r="B209" t="str">
        <f>"Folha Mensal"</f>
        <v>Folha Mensal</v>
      </c>
      <c r="C209" t="str">
        <f>"Auzarina Borges Ferreira Aleixo"</f>
        <v>Auzarina Borges Ferreira Aleixo</v>
      </c>
      <c r="D209" t="str">
        <f>"PROP IDADE"</f>
        <v>PROP IDADE</v>
      </c>
      <c r="E209" t="str">
        <f t="shared" si="17"/>
        <v>Efetivo-Inativo I- RJUSM</v>
      </c>
      <c r="F209" t="str">
        <f>"R$ 500,43"</f>
        <v>R$ 500,43</v>
      </c>
      <c r="G209" t="str">
        <f>"R$ 1.100,00"</f>
        <v>R$ 1.100,00</v>
      </c>
      <c r="H209" t="str">
        <f t="shared" si="15"/>
        <v>R$ 0,00</v>
      </c>
      <c r="I209" t="str">
        <f>"R$ 1.100,00"</f>
        <v>R$ 1.100,00</v>
      </c>
      <c r="J209" t="str">
        <f>"R$ 0,00"</f>
        <v>R$ 0,00</v>
      </c>
      <c r="K209" t="str">
        <f>"R$ 1.100,00"</f>
        <v>R$ 1.100,00</v>
      </c>
    </row>
    <row r="210" spans="1:11" x14ac:dyDescent="0.25">
      <c r="A210" t="str">
        <f>"00008222 / 1"</f>
        <v>00008222 / 1</v>
      </c>
      <c r="B210" t="str">
        <f>"13° Salário Anual"</f>
        <v>13° Salário Anual</v>
      </c>
      <c r="C210" t="str">
        <f>"Belemita Trindade do Nascimento"</f>
        <v>Belemita Trindade do Nascimento</v>
      </c>
      <c r="D210" t="str">
        <f>"INT INVALIDEZ"</f>
        <v>INT INVALIDEZ</v>
      </c>
      <c r="E210" t="str">
        <f t="shared" si="17"/>
        <v>Efetivo-Inativo I- RJUSM</v>
      </c>
      <c r="F210" t="str">
        <f t="shared" ref="F210:F215" si="18">"R$ 1.100,00"</f>
        <v>R$ 1.100,00</v>
      </c>
      <c r="G210" t="str">
        <f>"R$ 1.210,00"</f>
        <v>R$ 1.210,00</v>
      </c>
      <c r="H210" t="str">
        <f t="shared" si="15"/>
        <v>R$ 0,00</v>
      </c>
      <c r="I210" t="str">
        <f>"R$ 1.210,00"</f>
        <v>R$ 1.210,00</v>
      </c>
      <c r="J210" t="str">
        <f>"R$ 605,00"</f>
        <v>R$ 605,00</v>
      </c>
      <c r="K210" t="str">
        <f>"R$ 605,00"</f>
        <v>R$ 605,00</v>
      </c>
    </row>
    <row r="211" spans="1:11" x14ac:dyDescent="0.25">
      <c r="A211" t="str">
        <f>"00008222 / 1"</f>
        <v>00008222 / 1</v>
      </c>
      <c r="B211" t="str">
        <f>"Folha Mensal"</f>
        <v>Folha Mensal</v>
      </c>
      <c r="C211" t="str">
        <f>"Belemita Trindade do Nascimento"</f>
        <v>Belemita Trindade do Nascimento</v>
      </c>
      <c r="D211" t="str">
        <f>"INT INVALIDEZ"</f>
        <v>INT INVALIDEZ</v>
      </c>
      <c r="E211" t="str">
        <f t="shared" si="17"/>
        <v>Efetivo-Inativo I- RJUSM</v>
      </c>
      <c r="F211" t="str">
        <f t="shared" si="18"/>
        <v>R$ 1.100,00</v>
      </c>
      <c r="G211" t="str">
        <f>"R$ 1.210,00"</f>
        <v>R$ 1.210,00</v>
      </c>
      <c r="H211" t="str">
        <f t="shared" si="15"/>
        <v>R$ 0,00</v>
      </c>
      <c r="I211" t="str">
        <f>"R$ 1.210,00"</f>
        <v>R$ 1.210,00</v>
      </c>
      <c r="J211" t="str">
        <f>"R$ 0,00"</f>
        <v>R$ 0,00</v>
      </c>
      <c r="K211" t="str">
        <f>"R$ 1.210,00"</f>
        <v>R$ 1.210,00</v>
      </c>
    </row>
    <row r="212" spans="1:11" x14ac:dyDescent="0.25">
      <c r="A212" t="str">
        <f>"03642755 / 1"</f>
        <v>03642755 / 1</v>
      </c>
      <c r="B212" t="str">
        <f>"13° Salário Anual"</f>
        <v>13° Salário Anual</v>
      </c>
      <c r="C212" t="str">
        <f>"Benedicta Lima da Rocha"</f>
        <v>Benedicta Lima da Rocha</v>
      </c>
      <c r="D212" t="str">
        <f>"INATIVO"</f>
        <v>INATIVO</v>
      </c>
      <c r="E212" t="str">
        <f t="shared" si="17"/>
        <v>Efetivo-Inativo I- RJUSM</v>
      </c>
      <c r="F212" t="str">
        <f t="shared" si="18"/>
        <v>R$ 1.100,00</v>
      </c>
      <c r="G212" t="str">
        <f>"R$ 1.210,00"</f>
        <v>R$ 1.210,00</v>
      </c>
      <c r="H212" t="str">
        <f t="shared" si="15"/>
        <v>R$ 0,00</v>
      </c>
      <c r="I212" t="str">
        <f>"R$ 1.210,00"</f>
        <v>R$ 1.210,00</v>
      </c>
      <c r="J212" t="str">
        <f>"R$ 605,00"</f>
        <v>R$ 605,00</v>
      </c>
      <c r="K212" t="str">
        <f>"R$ 605,00"</f>
        <v>R$ 605,00</v>
      </c>
    </row>
    <row r="213" spans="1:11" x14ac:dyDescent="0.25">
      <c r="A213" t="str">
        <f>"03642755 / 1"</f>
        <v>03642755 / 1</v>
      </c>
      <c r="B213" t="str">
        <f>"Folha Mensal"</f>
        <v>Folha Mensal</v>
      </c>
      <c r="C213" t="str">
        <f>"Benedicta Lima da Rocha"</f>
        <v>Benedicta Lima da Rocha</v>
      </c>
      <c r="D213" t="str">
        <f>"INATIVO"</f>
        <v>INATIVO</v>
      </c>
      <c r="E213" t="str">
        <f t="shared" si="17"/>
        <v>Efetivo-Inativo I- RJUSM</v>
      </c>
      <c r="F213" t="str">
        <f t="shared" si="18"/>
        <v>R$ 1.100,00</v>
      </c>
      <c r="G213" t="str">
        <f>"R$ 1.210,00"</f>
        <v>R$ 1.210,00</v>
      </c>
      <c r="H213" t="str">
        <f t="shared" si="15"/>
        <v>R$ 0,00</v>
      </c>
      <c r="I213" t="str">
        <f>"R$ 1.210,00"</f>
        <v>R$ 1.210,00</v>
      </c>
      <c r="J213" t="str">
        <f>"R$ 0,00"</f>
        <v>R$ 0,00</v>
      </c>
      <c r="K213" t="str">
        <f>"R$ 1.210,00"</f>
        <v>R$ 1.210,00</v>
      </c>
    </row>
    <row r="214" spans="1:11" x14ac:dyDescent="0.25">
      <c r="A214" t="str">
        <f>"00024090 / 1"</f>
        <v>00024090 / 1</v>
      </c>
      <c r="B214" t="str">
        <f>"13° Salário Anual"</f>
        <v>13° Salário Anual</v>
      </c>
      <c r="C214" t="str">
        <f>"Benedita Campos da Silva"</f>
        <v>Benedita Campos da Silva</v>
      </c>
      <c r="D214" t="str">
        <f>"PROP IDADE"</f>
        <v>PROP IDADE</v>
      </c>
      <c r="E214" t="str">
        <f t="shared" si="17"/>
        <v>Efetivo-Inativo I- RJUSM</v>
      </c>
      <c r="F214" t="str">
        <f t="shared" si="18"/>
        <v>R$ 1.100,00</v>
      </c>
      <c r="G214" t="str">
        <f>"R$ 1.100,00"</f>
        <v>R$ 1.100,00</v>
      </c>
      <c r="H214" t="str">
        <f t="shared" si="15"/>
        <v>R$ 0,00</v>
      </c>
      <c r="I214" t="str">
        <f>"R$ 1.100,00"</f>
        <v>R$ 1.100,00</v>
      </c>
      <c r="J214" t="str">
        <f>"R$ 550,00"</f>
        <v>R$ 550,00</v>
      </c>
      <c r="K214" t="str">
        <f>"R$ 550,00"</f>
        <v>R$ 550,00</v>
      </c>
    </row>
    <row r="215" spans="1:11" x14ac:dyDescent="0.25">
      <c r="A215" t="str">
        <f>"00024090 / 1"</f>
        <v>00024090 / 1</v>
      </c>
      <c r="B215" t="str">
        <f>"Folha Mensal"</f>
        <v>Folha Mensal</v>
      </c>
      <c r="C215" t="str">
        <f>"Benedita Campos da Silva"</f>
        <v>Benedita Campos da Silva</v>
      </c>
      <c r="D215" t="str">
        <f>"PROP IDADE"</f>
        <v>PROP IDADE</v>
      </c>
      <c r="E215" t="str">
        <f t="shared" si="17"/>
        <v>Efetivo-Inativo I- RJUSM</v>
      </c>
      <c r="F215" t="str">
        <f t="shared" si="18"/>
        <v>R$ 1.100,00</v>
      </c>
      <c r="G215" t="str">
        <f>"R$ 1.100,00"</f>
        <v>R$ 1.100,00</v>
      </c>
      <c r="H215" t="str">
        <f t="shared" si="15"/>
        <v>R$ 0,00</v>
      </c>
      <c r="I215" t="str">
        <f>"R$ 1.100,00"</f>
        <v>R$ 1.100,00</v>
      </c>
      <c r="J215" t="str">
        <f>"R$ 0,00"</f>
        <v>R$ 0,00</v>
      </c>
      <c r="K215" t="str">
        <f>"R$ 1.100,00"</f>
        <v>R$ 1.100,00</v>
      </c>
    </row>
    <row r="216" spans="1:11" x14ac:dyDescent="0.25">
      <c r="A216" t="str">
        <f>"00052272 / 2"</f>
        <v>00052272 / 2</v>
      </c>
      <c r="B216" t="str">
        <f>"13° Salário Anual"</f>
        <v>13° Salário Anual</v>
      </c>
      <c r="C216" t="str">
        <f>"Benedita Coleta de Quadros Reis"</f>
        <v>Benedita Coleta de Quadros Reis</v>
      </c>
      <c r="D216" t="str">
        <f>"PROFESSOR NIVEL III"</f>
        <v>PROFESSOR NIVEL III</v>
      </c>
      <c r="E216" t="str">
        <f>"Efetivo-Inativos II-RJUSM"</f>
        <v>Efetivo-Inativos II-RJUSM</v>
      </c>
      <c r="F216" t="str">
        <f>"R$ 2.549,55"</f>
        <v>R$ 2.549,55</v>
      </c>
      <c r="G216" t="str">
        <f>"R$ 3.059,46"</f>
        <v>R$ 3.059,46</v>
      </c>
      <c r="H216" t="str">
        <f t="shared" si="15"/>
        <v>R$ 0,00</v>
      </c>
      <c r="I216" t="str">
        <f>"R$ 3.059,46"</f>
        <v>R$ 3.059,46</v>
      </c>
      <c r="J216" t="str">
        <f>"R$ 1.529,73"</f>
        <v>R$ 1.529,73</v>
      </c>
      <c r="K216" t="str">
        <f>"R$ 1.529,73"</f>
        <v>R$ 1.529,73</v>
      </c>
    </row>
    <row r="217" spans="1:11" x14ac:dyDescent="0.25">
      <c r="A217" t="str">
        <f>"00052272 / 2"</f>
        <v>00052272 / 2</v>
      </c>
      <c r="B217" t="str">
        <f>"Folha Mensal"</f>
        <v>Folha Mensal</v>
      </c>
      <c r="C217" t="str">
        <f>"Benedita Coleta de Quadros Reis"</f>
        <v>Benedita Coleta de Quadros Reis</v>
      </c>
      <c r="D217" t="str">
        <f>"PROFESSOR NIVEL III"</f>
        <v>PROFESSOR NIVEL III</v>
      </c>
      <c r="E217" t="str">
        <f>"Efetivo-Inativos II-RJUSM"</f>
        <v>Efetivo-Inativos II-RJUSM</v>
      </c>
      <c r="F217" t="str">
        <f>"R$ 2.549,55"</f>
        <v>R$ 2.549,55</v>
      </c>
      <c r="G217" t="str">
        <f>"R$ 3.059,46"</f>
        <v>R$ 3.059,46</v>
      </c>
      <c r="H217" t="str">
        <f t="shared" si="15"/>
        <v>R$ 0,00</v>
      </c>
      <c r="I217" t="str">
        <f>"R$ 3.059,46"</f>
        <v>R$ 3.059,46</v>
      </c>
      <c r="J217" t="str">
        <f>"R$ 0,00"</f>
        <v>R$ 0,00</v>
      </c>
      <c r="K217" t="str">
        <f>"R$ 3.059,46"</f>
        <v>R$ 3.059,46</v>
      </c>
    </row>
    <row r="218" spans="1:11" x14ac:dyDescent="0.25">
      <c r="A218" t="str">
        <f>"00187470 / 1"</f>
        <v>00187470 / 1</v>
      </c>
      <c r="B218" t="str">
        <f>"13° Salário Anual"</f>
        <v>13° Salário Anual</v>
      </c>
      <c r="C218" t="str">
        <f>"Benedita Elziel Dias Marques"</f>
        <v>Benedita Elziel Dias Marques</v>
      </c>
      <c r="D218" t="str">
        <f>"AUXILIAR MUNICIPAL"</f>
        <v>AUXILIAR MUNICIPAL</v>
      </c>
      <c r="E218" t="str">
        <f>"Efetivo-Inativos II-RJUSM"</f>
        <v>Efetivo-Inativos II-RJUSM</v>
      </c>
      <c r="F218" t="str">
        <f t="shared" ref="F218:G221" si="19">"R$ 1.100,00"</f>
        <v>R$ 1.100,00</v>
      </c>
      <c r="G218" t="str">
        <f t="shared" si="19"/>
        <v>R$ 1.100,00</v>
      </c>
      <c r="H218" t="str">
        <f t="shared" si="15"/>
        <v>R$ 0,00</v>
      </c>
      <c r="I218" t="str">
        <f t="shared" ref="I218:I223" si="20">"R$ 1.100,00"</f>
        <v>R$ 1.100,00</v>
      </c>
      <c r="J218" t="str">
        <f>"R$ 550,00"</f>
        <v>R$ 550,00</v>
      </c>
      <c r="K218" t="str">
        <f>"R$ 550,00"</f>
        <v>R$ 550,00</v>
      </c>
    </row>
    <row r="219" spans="1:11" x14ac:dyDescent="0.25">
      <c r="A219" t="str">
        <f>"00187470 / 1"</f>
        <v>00187470 / 1</v>
      </c>
      <c r="B219" t="str">
        <f>"Folha Mensal"</f>
        <v>Folha Mensal</v>
      </c>
      <c r="C219" t="str">
        <f>"Benedita Elziel Dias Marques"</f>
        <v>Benedita Elziel Dias Marques</v>
      </c>
      <c r="D219" t="str">
        <f>"AUXILIAR MUNICIPAL"</f>
        <v>AUXILIAR MUNICIPAL</v>
      </c>
      <c r="E219" t="str">
        <f>"Efetivo-Inativos II-RJUSM"</f>
        <v>Efetivo-Inativos II-RJUSM</v>
      </c>
      <c r="F219" t="str">
        <f t="shared" si="19"/>
        <v>R$ 1.100,00</v>
      </c>
      <c r="G219" t="str">
        <f t="shared" si="19"/>
        <v>R$ 1.100,00</v>
      </c>
      <c r="H219" t="str">
        <f t="shared" si="15"/>
        <v>R$ 0,00</v>
      </c>
      <c r="I219" t="str">
        <f t="shared" si="20"/>
        <v>R$ 1.100,00</v>
      </c>
      <c r="J219" t="str">
        <f>"R$ 0,00"</f>
        <v>R$ 0,00</v>
      </c>
      <c r="K219" t="str">
        <f>"R$ 1.100,00"</f>
        <v>R$ 1.100,00</v>
      </c>
    </row>
    <row r="220" spans="1:11" x14ac:dyDescent="0.25">
      <c r="A220" t="str">
        <f>"00013862 / 2"</f>
        <v>00013862 / 2</v>
      </c>
      <c r="B220" t="str">
        <f>"13° Salário Anual"</f>
        <v>13° Salário Anual</v>
      </c>
      <c r="C220" t="str">
        <f>"Benedita Fernandes Vidal"</f>
        <v>Benedita Fernandes Vidal</v>
      </c>
      <c r="D220" t="str">
        <f>"PROP IDADE"</f>
        <v>PROP IDADE</v>
      </c>
      <c r="E220" t="str">
        <f t="shared" ref="E220:E225" si="21">"Efetivo-Inativo I- RJUSM"</f>
        <v>Efetivo-Inativo I- RJUSM</v>
      </c>
      <c r="F220" t="str">
        <f t="shared" si="19"/>
        <v>R$ 1.100,00</v>
      </c>
      <c r="G220" t="str">
        <f t="shared" si="19"/>
        <v>R$ 1.100,00</v>
      </c>
      <c r="H220" t="str">
        <f t="shared" si="15"/>
        <v>R$ 0,00</v>
      </c>
      <c r="I220" t="str">
        <f t="shared" si="20"/>
        <v>R$ 1.100,00</v>
      </c>
      <c r="J220" t="str">
        <f>"R$ 550,00"</f>
        <v>R$ 550,00</v>
      </c>
      <c r="K220" t="str">
        <f>"R$ 550,00"</f>
        <v>R$ 550,00</v>
      </c>
    </row>
    <row r="221" spans="1:11" x14ac:dyDescent="0.25">
      <c r="A221" t="str">
        <f>"00013862 / 2"</f>
        <v>00013862 / 2</v>
      </c>
      <c r="B221" t="str">
        <f>"Folha Mensal"</f>
        <v>Folha Mensal</v>
      </c>
      <c r="C221" t="str">
        <f>"Benedita Fernandes Vidal"</f>
        <v>Benedita Fernandes Vidal</v>
      </c>
      <c r="D221" t="str">
        <f>"PROP IDADE"</f>
        <v>PROP IDADE</v>
      </c>
      <c r="E221" t="str">
        <f t="shared" si="21"/>
        <v>Efetivo-Inativo I- RJUSM</v>
      </c>
      <c r="F221" t="str">
        <f t="shared" si="19"/>
        <v>R$ 1.100,00</v>
      </c>
      <c r="G221" t="str">
        <f t="shared" si="19"/>
        <v>R$ 1.100,00</v>
      </c>
      <c r="H221" t="str">
        <f t="shared" si="15"/>
        <v>R$ 0,00</v>
      </c>
      <c r="I221" t="str">
        <f t="shared" si="20"/>
        <v>R$ 1.100,00</v>
      </c>
      <c r="J221" t="str">
        <f>"R$ 299,26"</f>
        <v>R$ 299,26</v>
      </c>
      <c r="K221" t="str">
        <f>"R$ 800,74"</f>
        <v>R$ 800,74</v>
      </c>
    </row>
    <row r="222" spans="1:11" x14ac:dyDescent="0.25">
      <c r="A222" t="str">
        <f>"00023400 / 1"</f>
        <v>00023400 / 1</v>
      </c>
      <c r="B222" t="str">
        <f>"13° Salário Anual"</f>
        <v>13° Salário Anual</v>
      </c>
      <c r="C222" t="str">
        <f>"Benedita Gomes Correa"</f>
        <v>Benedita Gomes Correa</v>
      </c>
      <c r="D222" t="str">
        <f>"PROP INVALIDEZ"</f>
        <v>PROP INVALIDEZ</v>
      </c>
      <c r="E222" t="str">
        <f t="shared" si="21"/>
        <v>Efetivo-Inativo I- RJUSM</v>
      </c>
      <c r="F222" t="str">
        <f>"R$ 1.016,38"</f>
        <v>R$ 1.016,38</v>
      </c>
      <c r="G222" t="str">
        <f>"R$ 1.100,00"</f>
        <v>R$ 1.100,00</v>
      </c>
      <c r="H222" t="str">
        <f t="shared" ref="H222:H253" si="22">"R$ 0,00"</f>
        <v>R$ 0,00</v>
      </c>
      <c r="I222" t="str">
        <f t="shared" si="20"/>
        <v>R$ 1.100,00</v>
      </c>
      <c r="J222" t="str">
        <f>"R$ 550,00"</f>
        <v>R$ 550,00</v>
      </c>
      <c r="K222" t="str">
        <f>"R$ 550,00"</f>
        <v>R$ 550,00</v>
      </c>
    </row>
    <row r="223" spans="1:11" x14ac:dyDescent="0.25">
      <c r="A223" t="str">
        <f>"00023400 / 1"</f>
        <v>00023400 / 1</v>
      </c>
      <c r="B223" t="str">
        <f>"Folha Mensal"</f>
        <v>Folha Mensal</v>
      </c>
      <c r="C223" t="str">
        <f>"Benedita Gomes Correa"</f>
        <v>Benedita Gomes Correa</v>
      </c>
      <c r="D223" t="str">
        <f>"PROP INVALIDEZ"</f>
        <v>PROP INVALIDEZ</v>
      </c>
      <c r="E223" t="str">
        <f t="shared" si="21"/>
        <v>Efetivo-Inativo I- RJUSM</v>
      </c>
      <c r="F223" t="str">
        <f>"R$ 1.016,38"</f>
        <v>R$ 1.016,38</v>
      </c>
      <c r="G223" t="str">
        <f>"R$ 1.100,00"</f>
        <v>R$ 1.100,00</v>
      </c>
      <c r="H223" t="str">
        <f t="shared" si="22"/>
        <v>R$ 0,00</v>
      </c>
      <c r="I223" t="str">
        <f t="shared" si="20"/>
        <v>R$ 1.100,00</v>
      </c>
      <c r="J223" t="str">
        <f>"R$ 0,00"</f>
        <v>R$ 0,00</v>
      </c>
      <c r="K223" t="str">
        <f>"R$ 1.100,00"</f>
        <v>R$ 1.100,00</v>
      </c>
    </row>
    <row r="224" spans="1:11" x14ac:dyDescent="0.25">
      <c r="A224" t="str">
        <f>"00302724 / 1"</f>
        <v>00302724 / 1</v>
      </c>
      <c r="B224" t="str">
        <f>"13° Salário Anual"</f>
        <v>13° Salário Anual</v>
      </c>
      <c r="C224" t="str">
        <f>"Benedita Soares Ferreira"</f>
        <v>Benedita Soares Ferreira</v>
      </c>
      <c r="D224" t="str">
        <f>"INT INVALIDEZ"</f>
        <v>INT INVALIDEZ</v>
      </c>
      <c r="E224" t="str">
        <f t="shared" si="21"/>
        <v>Efetivo-Inativo I- RJUSM</v>
      </c>
      <c r="F224" t="str">
        <f t="shared" ref="F224:F229" si="23">"R$ 1.100,00"</f>
        <v>R$ 1.100,00</v>
      </c>
      <c r="G224" t="str">
        <f>"R$ 1.210,00"</f>
        <v>R$ 1.210,00</v>
      </c>
      <c r="H224" t="str">
        <f t="shared" si="22"/>
        <v>R$ 0,00</v>
      </c>
      <c r="I224" t="str">
        <f>"R$ 1.210,00"</f>
        <v>R$ 1.210,00</v>
      </c>
      <c r="J224" t="str">
        <f>"R$ 605,00"</f>
        <v>R$ 605,00</v>
      </c>
      <c r="K224" t="str">
        <f>"R$ 605,00"</f>
        <v>R$ 605,00</v>
      </c>
    </row>
    <row r="225" spans="1:11" x14ac:dyDescent="0.25">
      <c r="A225" t="str">
        <f>"00302724 / 1"</f>
        <v>00302724 / 1</v>
      </c>
      <c r="B225" t="str">
        <f>"Folha Mensal"</f>
        <v>Folha Mensal</v>
      </c>
      <c r="C225" t="str">
        <f>"Benedita Soares Ferreira"</f>
        <v>Benedita Soares Ferreira</v>
      </c>
      <c r="D225" t="str">
        <f>"INT INVALIDEZ"</f>
        <v>INT INVALIDEZ</v>
      </c>
      <c r="E225" t="str">
        <f t="shared" si="21"/>
        <v>Efetivo-Inativo I- RJUSM</v>
      </c>
      <c r="F225" t="str">
        <f t="shared" si="23"/>
        <v>R$ 1.100,00</v>
      </c>
      <c r="G225" t="str">
        <f>"R$ 1.210,00"</f>
        <v>R$ 1.210,00</v>
      </c>
      <c r="H225" t="str">
        <f t="shared" si="22"/>
        <v>R$ 0,00</v>
      </c>
      <c r="I225" t="str">
        <f>"R$ 1.210,00"</f>
        <v>R$ 1.210,00</v>
      </c>
      <c r="J225" t="str">
        <f>"R$ 277,05"</f>
        <v>R$ 277,05</v>
      </c>
      <c r="K225" t="str">
        <f>"R$ 932,95"</f>
        <v>R$ 932,95</v>
      </c>
    </row>
    <row r="226" spans="1:11" x14ac:dyDescent="0.25">
      <c r="A226" t="str">
        <f>"00011045 / 2"</f>
        <v>00011045 / 2</v>
      </c>
      <c r="B226" t="str">
        <f>"13° Salário Anual"</f>
        <v>13° Salário Anual</v>
      </c>
      <c r="C226" t="str">
        <f>"Benedito Nazareno de Oliveira Goncalves"</f>
        <v>Benedito Nazareno de Oliveira Goncalves</v>
      </c>
      <c r="D226" t="str">
        <f>"AUXILIAR MUNICIPAL"</f>
        <v>AUXILIAR MUNICIPAL</v>
      </c>
      <c r="E226" t="str">
        <f>"Efetivo-Inativos II-RJUSM"</f>
        <v>Efetivo-Inativos II-RJUSM</v>
      </c>
      <c r="F226" t="str">
        <f t="shared" si="23"/>
        <v>R$ 1.100,00</v>
      </c>
      <c r="G226" t="str">
        <f>"R$ 1.485,00"</f>
        <v>R$ 1.485,00</v>
      </c>
      <c r="H226" t="str">
        <f t="shared" si="22"/>
        <v>R$ 0,00</v>
      </c>
      <c r="I226" t="str">
        <f>"R$ 1.485,00"</f>
        <v>R$ 1.485,00</v>
      </c>
      <c r="J226" t="str">
        <f>"R$ 928,12"</f>
        <v>R$ 928,12</v>
      </c>
      <c r="K226" t="str">
        <f>"R$ 556,88"</f>
        <v>R$ 556,88</v>
      </c>
    </row>
    <row r="227" spans="1:11" x14ac:dyDescent="0.25">
      <c r="A227" t="str">
        <f>"00011045 / 2"</f>
        <v>00011045 / 2</v>
      </c>
      <c r="B227" t="str">
        <f>"Folha Mensal"</f>
        <v>Folha Mensal</v>
      </c>
      <c r="C227" t="str">
        <f>"Benedito Nazareno de Oliveira Goncalves"</f>
        <v>Benedito Nazareno de Oliveira Goncalves</v>
      </c>
      <c r="D227" t="str">
        <f>"AUXILIAR MUNICIPAL"</f>
        <v>AUXILIAR MUNICIPAL</v>
      </c>
      <c r="E227" t="str">
        <f>"Efetivo-Inativos II-RJUSM"</f>
        <v>Efetivo-Inativos II-RJUSM</v>
      </c>
      <c r="F227" t="str">
        <f t="shared" si="23"/>
        <v>R$ 1.100,00</v>
      </c>
      <c r="G227" t="str">
        <f>"R$ 1.485,00"</f>
        <v>R$ 1.485,00</v>
      </c>
      <c r="H227" t="str">
        <f t="shared" si="22"/>
        <v>R$ 0,00</v>
      </c>
      <c r="I227" t="str">
        <f>"R$ 1.485,00"</f>
        <v>R$ 1.485,00</v>
      </c>
      <c r="J227" t="str">
        <f>"R$ 889,39"</f>
        <v>R$ 889,39</v>
      </c>
      <c r="K227" t="str">
        <f>"R$ 595,61"</f>
        <v>R$ 595,61</v>
      </c>
    </row>
    <row r="228" spans="1:11" x14ac:dyDescent="0.25">
      <c r="A228" t="str">
        <f>"03640051 / 1"</f>
        <v>03640051 / 1</v>
      </c>
      <c r="B228" t="str">
        <f>"13° Salário Anual"</f>
        <v>13° Salário Anual</v>
      </c>
      <c r="C228" t="str">
        <f>"Benicio Ferreira da Silva"</f>
        <v>Benicio Ferreira da Silva</v>
      </c>
      <c r="D228" t="str">
        <f>"PENSIONISTA"</f>
        <v>PENSIONISTA</v>
      </c>
      <c r="E228" t="str">
        <f>"Pensionista"</f>
        <v>Pensionista</v>
      </c>
      <c r="F228" t="str">
        <f t="shared" si="23"/>
        <v>R$ 1.100,00</v>
      </c>
      <c r="G228" t="str">
        <f>"R$ 1.155,00"</f>
        <v>R$ 1.155,00</v>
      </c>
      <c r="H228" t="str">
        <f t="shared" si="22"/>
        <v>R$ 0,00</v>
      </c>
      <c r="I228" t="str">
        <f>"R$ 1.155,00"</f>
        <v>R$ 1.155,00</v>
      </c>
      <c r="J228" t="str">
        <f>"R$ 577,50"</f>
        <v>R$ 577,50</v>
      </c>
      <c r="K228" t="str">
        <f>"R$ 577,50"</f>
        <v>R$ 577,50</v>
      </c>
    </row>
    <row r="229" spans="1:11" x14ac:dyDescent="0.25">
      <c r="A229" t="str">
        <f>"03640051 / 1"</f>
        <v>03640051 / 1</v>
      </c>
      <c r="B229" t="str">
        <f>"Folha Mensal"</f>
        <v>Folha Mensal</v>
      </c>
      <c r="C229" t="str">
        <f>"Benicio Ferreira da Silva"</f>
        <v>Benicio Ferreira da Silva</v>
      </c>
      <c r="D229" t="str">
        <f>"PENSIONISTA"</f>
        <v>PENSIONISTA</v>
      </c>
      <c r="E229" t="str">
        <f>"Pensionista"</f>
        <v>Pensionista</v>
      </c>
      <c r="F229" t="str">
        <f t="shared" si="23"/>
        <v>R$ 1.100,00</v>
      </c>
      <c r="G229" t="str">
        <f>"R$ 1.155,00"</f>
        <v>R$ 1.155,00</v>
      </c>
      <c r="H229" t="str">
        <f t="shared" si="22"/>
        <v>R$ 0,00</v>
      </c>
      <c r="I229" t="str">
        <f>"R$ 1.155,00"</f>
        <v>R$ 1.155,00</v>
      </c>
      <c r="J229" t="str">
        <f>"R$ 0,00"</f>
        <v>R$ 0,00</v>
      </c>
      <c r="K229" t="str">
        <f>"R$ 1.155,00"</f>
        <v>R$ 1.155,00</v>
      </c>
    </row>
    <row r="230" spans="1:11" x14ac:dyDescent="0.25">
      <c r="A230" t="str">
        <f>"03640116 / 1"</f>
        <v>03640116 / 1</v>
      </c>
      <c r="B230" t="str">
        <f>"13° Salário Anual"</f>
        <v>13° Salário Anual</v>
      </c>
      <c r="C230" t="str">
        <f>"Benjamin Kalebe Sousa Dias Nascimento"</f>
        <v>Benjamin Kalebe Sousa Dias Nascimento</v>
      </c>
      <c r="D230" t="str">
        <f>"PENS TEMP ATE 07/03/2033"</f>
        <v>PENS TEMP ATE 07/03/2033</v>
      </c>
      <c r="E230" t="str">
        <f>"Pensionista"</f>
        <v>Pensionista</v>
      </c>
      <c r="F230" t="str">
        <f>"R$ 277,42"</f>
        <v>R$ 277,42</v>
      </c>
      <c r="G230" t="str">
        <f>"R$ 582,58"</f>
        <v>R$ 582,58</v>
      </c>
      <c r="H230" t="str">
        <f t="shared" si="22"/>
        <v>R$ 0,00</v>
      </c>
      <c r="I230" t="str">
        <f>"R$ 582,58"</f>
        <v>R$ 582,58</v>
      </c>
      <c r="J230" t="str">
        <f>"R$ 291,29"</f>
        <v>R$ 291,29</v>
      </c>
      <c r="K230" t="str">
        <f>"R$ 291,29"</f>
        <v>R$ 291,29</v>
      </c>
    </row>
    <row r="231" spans="1:11" x14ac:dyDescent="0.25">
      <c r="A231" t="str">
        <f>"03640116 / 1"</f>
        <v>03640116 / 1</v>
      </c>
      <c r="B231" t="str">
        <f>"Folha Mensal"</f>
        <v>Folha Mensal</v>
      </c>
      <c r="C231" t="str">
        <f>"Benjamin Kalebe Sousa Dias Nascimento"</f>
        <v>Benjamin Kalebe Sousa Dias Nascimento</v>
      </c>
      <c r="D231" t="str">
        <f>"PENS TEMP ATE 07/03/2033"</f>
        <v>PENS TEMP ATE 07/03/2033</v>
      </c>
      <c r="E231" t="str">
        <f>"Pensionista"</f>
        <v>Pensionista</v>
      </c>
      <c r="F231" t="str">
        <f>"R$ 277,42"</f>
        <v>R$ 277,42</v>
      </c>
      <c r="G231" t="str">
        <f>"R$ 582,58"</f>
        <v>R$ 582,58</v>
      </c>
      <c r="H231" t="str">
        <f t="shared" si="22"/>
        <v>R$ 0,00</v>
      </c>
      <c r="I231" t="str">
        <f>"R$ 582,58"</f>
        <v>R$ 582,58</v>
      </c>
      <c r="J231" t="str">
        <f>"R$ 0,00"</f>
        <v>R$ 0,00</v>
      </c>
      <c r="K231" t="str">
        <f>"R$ 582,58"</f>
        <v>R$ 582,58</v>
      </c>
    </row>
    <row r="232" spans="1:11" x14ac:dyDescent="0.25">
      <c r="A232" t="str">
        <f>"00006785 / 2"</f>
        <v>00006785 / 2</v>
      </c>
      <c r="B232" t="str">
        <f>"13° Salário Anual"</f>
        <v>13° Salário Anual</v>
      </c>
      <c r="C232" t="str">
        <f>"Berenice Farias"</f>
        <v>Berenice Farias</v>
      </c>
      <c r="D232" t="str">
        <f>"PROFESSOR NIVEL II"</f>
        <v>PROFESSOR NIVEL II</v>
      </c>
      <c r="E232" t="str">
        <f>"Efetivo-Inativos II-RJUSM"</f>
        <v>Efetivo-Inativos II-RJUSM</v>
      </c>
      <c r="F232" t="str">
        <f>"R$ 5.736,47"</f>
        <v>R$ 5.736,47</v>
      </c>
      <c r="G232" t="str">
        <f>"R$ 7.457,41"</f>
        <v>R$ 7.457,41</v>
      </c>
      <c r="H232" t="str">
        <f t="shared" si="22"/>
        <v>R$ 0,00</v>
      </c>
      <c r="I232" t="str">
        <f>"R$ 7.457,41"</f>
        <v>R$ 7.457,41</v>
      </c>
      <c r="J232" t="str">
        <f>"R$ 4.995,65"</f>
        <v>R$ 4.995,65</v>
      </c>
      <c r="K232" t="str">
        <f>"R$ 2.461,76"</f>
        <v>R$ 2.461,76</v>
      </c>
    </row>
    <row r="233" spans="1:11" x14ac:dyDescent="0.25">
      <c r="A233" t="str">
        <f>"00006785 / 2"</f>
        <v>00006785 / 2</v>
      </c>
      <c r="B233" t="str">
        <f>"Folha Mensal"</f>
        <v>Folha Mensal</v>
      </c>
      <c r="C233" t="str">
        <f>"Berenice Farias"</f>
        <v>Berenice Farias</v>
      </c>
      <c r="D233" t="str">
        <f>"PROFESSOR NIVEL II"</f>
        <v>PROFESSOR NIVEL II</v>
      </c>
      <c r="E233" t="str">
        <f>"Efetivo-Inativos II-RJUSM"</f>
        <v>Efetivo-Inativos II-RJUSM</v>
      </c>
      <c r="F233" t="str">
        <f>"R$ 5.736,47"</f>
        <v>R$ 5.736,47</v>
      </c>
      <c r="G233" t="str">
        <f>"R$ 7.457,41"</f>
        <v>R$ 7.457,41</v>
      </c>
      <c r="H233" t="str">
        <f t="shared" si="22"/>
        <v>R$ 0,00</v>
      </c>
      <c r="I233" t="str">
        <f>"R$ 7.457,41"</f>
        <v>R$ 7.457,41</v>
      </c>
      <c r="J233" t="str">
        <f>"R$ 3.435,58"</f>
        <v>R$ 3.435,58</v>
      </c>
      <c r="K233" t="str">
        <f>"R$ 4.021,83"</f>
        <v>R$ 4.021,83</v>
      </c>
    </row>
    <row r="234" spans="1:11" x14ac:dyDescent="0.25">
      <c r="A234" t="str">
        <f>"03641210 / 1"</f>
        <v>03641210 / 1</v>
      </c>
      <c r="B234" t="str">
        <f>"13° Salário Anual"</f>
        <v>13° Salário Anual</v>
      </c>
      <c r="C234" t="str">
        <f>"Bianca Caroline Xavier Pereira"</f>
        <v>Bianca Caroline Xavier Pereira</v>
      </c>
      <c r="D234" t="str">
        <f>"DAS 08"</f>
        <v>DAS 08</v>
      </c>
      <c r="E234" t="str">
        <f>"Comissionado"</f>
        <v>Comissionado</v>
      </c>
      <c r="F234" t="str">
        <f>"R$ 4.200,00"</f>
        <v>R$ 4.200,00</v>
      </c>
      <c r="G234" t="str">
        <f>"R$ 3.150,00"</f>
        <v>R$ 3.150,00</v>
      </c>
      <c r="H234" t="str">
        <f t="shared" si="22"/>
        <v>R$ 0,00</v>
      </c>
      <c r="I234" t="str">
        <f>"R$ 3.150,00"</f>
        <v>R$ 3.150,00</v>
      </c>
      <c r="J234" t="str">
        <f>"R$ 1.943,78"</f>
        <v>R$ 1.943,78</v>
      </c>
      <c r="K234" t="str">
        <f>"R$ 1.206,22"</f>
        <v>R$ 1.206,22</v>
      </c>
    </row>
    <row r="235" spans="1:11" x14ac:dyDescent="0.25">
      <c r="A235" t="str">
        <f>"03641210 / 1"</f>
        <v>03641210 / 1</v>
      </c>
      <c r="B235" t="str">
        <f>"Folha Mensal"</f>
        <v>Folha Mensal</v>
      </c>
      <c r="C235" t="str">
        <f>"Bianca Caroline Xavier Pereira"</f>
        <v>Bianca Caroline Xavier Pereira</v>
      </c>
      <c r="D235" t="str">
        <f>"DAS 08"</f>
        <v>DAS 08</v>
      </c>
      <c r="E235" t="str">
        <f>"Comissionado"</f>
        <v>Comissionado</v>
      </c>
      <c r="F235" t="str">
        <f>"R$ 4.200,00"</f>
        <v>R$ 4.200,00</v>
      </c>
      <c r="G235" t="str">
        <f>"R$ 4.200,00"</f>
        <v>R$ 4.200,00</v>
      </c>
      <c r="H235" t="str">
        <f t="shared" si="22"/>
        <v>R$ 0,00</v>
      </c>
      <c r="I235" t="str">
        <f>"R$ 4.200,00"</f>
        <v>R$ 4.200,00</v>
      </c>
      <c r="J235" t="str">
        <f>"R$ 649,30"</f>
        <v>R$ 649,30</v>
      </c>
      <c r="K235" t="str">
        <f>"R$ 3.550,70"</f>
        <v>R$ 3.550,70</v>
      </c>
    </row>
    <row r="236" spans="1:11" x14ac:dyDescent="0.25">
      <c r="A236" t="str">
        <f>"00062260 / 1"</f>
        <v>00062260 / 1</v>
      </c>
      <c r="B236" t="str">
        <f>"13° Salário Anual"</f>
        <v>13° Salário Anual</v>
      </c>
      <c r="C236" t="str">
        <f>"Caetana Chagas de Souza"</f>
        <v>Caetana Chagas de Souza</v>
      </c>
      <c r="D236" t="str">
        <f>"PROP IDADE"</f>
        <v>PROP IDADE</v>
      </c>
      <c r="E236" t="str">
        <f>"Efetivo-Inativo I- RJUSM"</f>
        <v>Efetivo-Inativo I- RJUSM</v>
      </c>
      <c r="F236" t="str">
        <f>"R$ 1.100,00"</f>
        <v>R$ 1.100,00</v>
      </c>
      <c r="G236" t="str">
        <f>"R$ 1.100,00"</f>
        <v>R$ 1.100,00</v>
      </c>
      <c r="H236" t="str">
        <f t="shared" si="22"/>
        <v>R$ 0,00</v>
      </c>
      <c r="I236" t="str">
        <f>"R$ 1.100,00"</f>
        <v>R$ 1.100,00</v>
      </c>
      <c r="J236" t="str">
        <f>"R$ 550,00"</f>
        <v>R$ 550,00</v>
      </c>
      <c r="K236" t="str">
        <f>"R$ 550,00"</f>
        <v>R$ 550,00</v>
      </c>
    </row>
    <row r="237" spans="1:11" x14ac:dyDescent="0.25">
      <c r="A237" t="str">
        <f>"00062260 / 1"</f>
        <v>00062260 / 1</v>
      </c>
      <c r="B237" t="str">
        <f>"Folha Mensal"</f>
        <v>Folha Mensal</v>
      </c>
      <c r="C237" t="str">
        <f>"Caetana Chagas de Souza"</f>
        <v>Caetana Chagas de Souza</v>
      </c>
      <c r="D237" t="str">
        <f>"PROP IDADE"</f>
        <v>PROP IDADE</v>
      </c>
      <c r="E237" t="str">
        <f>"Efetivo-Inativo I- RJUSM"</f>
        <v>Efetivo-Inativo I- RJUSM</v>
      </c>
      <c r="F237" t="str">
        <f>"R$ 1.100,00"</f>
        <v>R$ 1.100,00</v>
      </c>
      <c r="G237" t="str">
        <f>"R$ 1.100,00"</f>
        <v>R$ 1.100,00</v>
      </c>
      <c r="H237" t="str">
        <f t="shared" si="22"/>
        <v>R$ 0,00</v>
      </c>
      <c r="I237" t="str">
        <f>"R$ 1.100,00"</f>
        <v>R$ 1.100,00</v>
      </c>
      <c r="J237" t="str">
        <f>"R$ 0,00"</f>
        <v>R$ 0,00</v>
      </c>
      <c r="K237" t="str">
        <f>"R$ 1.100,00"</f>
        <v>R$ 1.100,00</v>
      </c>
    </row>
    <row r="238" spans="1:11" x14ac:dyDescent="0.25">
      <c r="A238" t="str">
        <f>"03641228 / 1"</f>
        <v>03641228 / 1</v>
      </c>
      <c r="B238" t="str">
        <f>"13° Salário Anual"</f>
        <v>13° Salário Anual</v>
      </c>
      <c r="C238" t="str">
        <f>"Camila Eleonora Silva dos Santos"</f>
        <v>Camila Eleonora Silva dos Santos</v>
      </c>
      <c r="D238" t="str">
        <f>"DAS 08"</f>
        <v>DAS 08</v>
      </c>
      <c r="E238" t="str">
        <f>"Comissionado"</f>
        <v>Comissionado</v>
      </c>
      <c r="F238" t="str">
        <f>"R$ 4.200,00"</f>
        <v>R$ 4.200,00</v>
      </c>
      <c r="G238" t="str">
        <f>"R$ 3.150,00"</f>
        <v>R$ 3.150,00</v>
      </c>
      <c r="H238" t="str">
        <f t="shared" si="22"/>
        <v>R$ 0,00</v>
      </c>
      <c r="I238" t="str">
        <f>"R$ 3.150,00"</f>
        <v>R$ 3.150,00</v>
      </c>
      <c r="J238" t="str">
        <f>"R$ 1.551,73"</f>
        <v>R$ 1.551,73</v>
      </c>
      <c r="K238" t="str">
        <f>"R$ 1.598,27"</f>
        <v>R$ 1.598,27</v>
      </c>
    </row>
    <row r="239" spans="1:11" x14ac:dyDescent="0.25">
      <c r="A239" t="str">
        <f>"03641228 / 1"</f>
        <v>03641228 / 1</v>
      </c>
      <c r="B239" t="str">
        <f>"Folha Mensal"</f>
        <v>Folha Mensal</v>
      </c>
      <c r="C239" t="str">
        <f>"Camila Eleonora Silva dos Santos"</f>
        <v>Camila Eleonora Silva dos Santos</v>
      </c>
      <c r="D239" t="str">
        <f>"DAS 08"</f>
        <v>DAS 08</v>
      </c>
      <c r="E239" t="str">
        <f>"Comissionado"</f>
        <v>Comissionado</v>
      </c>
      <c r="F239" t="str">
        <f>"R$ 4.200,00"</f>
        <v>R$ 4.200,00</v>
      </c>
      <c r="G239" t="str">
        <f>"R$ 4.200,00"</f>
        <v>R$ 4.200,00</v>
      </c>
      <c r="H239" t="str">
        <f t="shared" si="22"/>
        <v>R$ 0,00</v>
      </c>
      <c r="I239" t="str">
        <f>"R$ 4.200,00"</f>
        <v>R$ 4.200,00</v>
      </c>
      <c r="J239" t="str">
        <f>"R$ 649,30"</f>
        <v>R$ 649,30</v>
      </c>
      <c r="K239" t="str">
        <f>"R$ 3.550,70"</f>
        <v>R$ 3.550,70</v>
      </c>
    </row>
    <row r="240" spans="1:11" x14ac:dyDescent="0.25">
      <c r="A240" t="str">
        <f>"00006548 / 1"</f>
        <v>00006548 / 1</v>
      </c>
      <c r="B240" t="str">
        <f>"13° Salário Anual"</f>
        <v>13° Salário Anual</v>
      </c>
      <c r="C240" t="str">
        <f>"Caritas de Nazare Barata Marques"</f>
        <v>Caritas de Nazare Barata Marques</v>
      </c>
      <c r="D240" t="str">
        <f>"PROFESSOR NIVEL I"</f>
        <v>PROFESSOR NIVEL I</v>
      </c>
      <c r="E240" t="str">
        <f>"Efetivo-Inativos II-RJUSM"</f>
        <v>Efetivo-Inativos II-RJUSM</v>
      </c>
      <c r="F240" t="str">
        <f>"R$ 3.983,67"</f>
        <v>R$ 3.983,67</v>
      </c>
      <c r="G240" t="str">
        <f>"R$ 5.178,77"</f>
        <v>R$ 5.178,77</v>
      </c>
      <c r="H240" t="str">
        <f t="shared" si="22"/>
        <v>R$ 0,00</v>
      </c>
      <c r="I240" t="str">
        <f>"R$ 5.178,77"</f>
        <v>R$ 5.178,77</v>
      </c>
      <c r="J240" t="str">
        <f>"R$ 2.589,38"</f>
        <v>R$ 2.589,38</v>
      </c>
      <c r="K240" t="str">
        <f>"R$ 2.589,39"</f>
        <v>R$ 2.589,39</v>
      </c>
    </row>
    <row r="241" spans="1:11" x14ac:dyDescent="0.25">
      <c r="A241" t="str">
        <f>"00006548 / 1"</f>
        <v>00006548 / 1</v>
      </c>
      <c r="B241" t="str">
        <f>"Folha Mensal"</f>
        <v>Folha Mensal</v>
      </c>
      <c r="C241" t="str">
        <f>"Caritas de Nazare Barata Marques"</f>
        <v>Caritas de Nazare Barata Marques</v>
      </c>
      <c r="D241" t="str">
        <f>"PROFESSOR NIVEL I"</f>
        <v>PROFESSOR NIVEL I</v>
      </c>
      <c r="E241" t="str">
        <f>"Efetivo-Inativos II-RJUSM"</f>
        <v>Efetivo-Inativos II-RJUSM</v>
      </c>
      <c r="F241" t="str">
        <f>"R$ 3.983,67"</f>
        <v>R$ 3.983,67</v>
      </c>
      <c r="G241" t="str">
        <f>"R$ 5.178,77"</f>
        <v>R$ 5.178,77</v>
      </c>
      <c r="H241" t="str">
        <f t="shared" si="22"/>
        <v>R$ 0,00</v>
      </c>
      <c r="I241" t="str">
        <f>"R$ 5.178,77"</f>
        <v>R$ 5.178,77</v>
      </c>
      <c r="J241" t="str">
        <f>"R$ 1.797,94"</f>
        <v>R$ 1.797,94</v>
      </c>
      <c r="K241" t="str">
        <f>"R$ 3.380,83"</f>
        <v>R$ 3.380,83</v>
      </c>
    </row>
    <row r="242" spans="1:11" x14ac:dyDescent="0.25">
      <c r="A242" t="str">
        <f>"03641287 / 1"</f>
        <v>03641287 / 1</v>
      </c>
      <c r="B242" t="str">
        <f>"13° Salário Anual"</f>
        <v>13° Salário Anual</v>
      </c>
      <c r="C242" t="str">
        <f>"Carlos Andre da Cruz Franco"</f>
        <v>Carlos Andre da Cruz Franco</v>
      </c>
      <c r="D242" t="str">
        <f>"DAS 05"</f>
        <v>DAS 05</v>
      </c>
      <c r="E242" t="str">
        <f>"Comissionado"</f>
        <v>Comissionado</v>
      </c>
      <c r="F242" t="str">
        <f>"R$ 2.025,00"</f>
        <v>R$ 2.025,00</v>
      </c>
      <c r="G242" t="str">
        <f>"R$ 1.350,00"</f>
        <v>R$ 1.350,00</v>
      </c>
      <c r="H242" t="str">
        <f t="shared" si="22"/>
        <v>R$ 0,00</v>
      </c>
      <c r="I242" t="str">
        <f>"R$ 1.350,00"</f>
        <v>R$ 1.350,00</v>
      </c>
      <c r="J242" t="str">
        <f>"R$ 780,00"</f>
        <v>R$ 780,00</v>
      </c>
      <c r="K242" t="str">
        <f>"R$ 570,00"</f>
        <v>R$ 570,00</v>
      </c>
    </row>
    <row r="243" spans="1:11" x14ac:dyDescent="0.25">
      <c r="A243" t="str">
        <f>"03641287 / 1"</f>
        <v>03641287 / 1</v>
      </c>
      <c r="B243" t="str">
        <f>"Folha Mensal"</f>
        <v>Folha Mensal</v>
      </c>
      <c r="C243" t="str">
        <f>"Carlos Andre da Cruz Franco"</f>
        <v>Carlos Andre da Cruz Franco</v>
      </c>
      <c r="D243" t="str">
        <f>"DAS 05"</f>
        <v>DAS 05</v>
      </c>
      <c r="E243" t="str">
        <f>"Comissionado"</f>
        <v>Comissionado</v>
      </c>
      <c r="F243" t="str">
        <f>"R$ 2.025,00"</f>
        <v>R$ 2.025,00</v>
      </c>
      <c r="G243" t="str">
        <f>"R$ 2.025,00"</f>
        <v>R$ 2.025,00</v>
      </c>
      <c r="H243" t="str">
        <f t="shared" si="22"/>
        <v>R$ 0,00</v>
      </c>
      <c r="I243" t="str">
        <f>"R$ 2.025,00"</f>
        <v>R$ 2.025,00</v>
      </c>
      <c r="J243" t="str">
        <f>"R$ 165,75"</f>
        <v>R$ 165,75</v>
      </c>
      <c r="K243" t="str">
        <f>"R$ 1.859,25"</f>
        <v>R$ 1.859,25</v>
      </c>
    </row>
    <row r="244" spans="1:11" x14ac:dyDescent="0.25">
      <c r="A244" t="str">
        <f>"03640060 / 1"</f>
        <v>03640060 / 1</v>
      </c>
      <c r="B244" t="str">
        <f>"13° Salário Anual"</f>
        <v>13° Salário Anual</v>
      </c>
      <c r="C244" t="str">
        <f>"Carlos Aviz do Nascimento"</f>
        <v>Carlos Aviz do Nascimento</v>
      </c>
      <c r="D244" t="str">
        <f>"PENSIONISTA"</f>
        <v>PENSIONISTA</v>
      </c>
      <c r="E244" t="str">
        <f>"Pensionista"</f>
        <v>Pensionista</v>
      </c>
      <c r="F244" t="str">
        <f>"R$ 2.868,22"</f>
        <v>R$ 2.868,22</v>
      </c>
      <c r="G244" t="str">
        <f>"R$ 3.728,68"</f>
        <v>R$ 3.728,68</v>
      </c>
      <c r="H244" t="str">
        <f t="shared" si="22"/>
        <v>R$ 0,00</v>
      </c>
      <c r="I244" t="str">
        <f>"R$ 3.728,68"</f>
        <v>R$ 3.728,68</v>
      </c>
      <c r="J244" t="str">
        <f>"R$ 1.864,34"</f>
        <v>R$ 1.864,34</v>
      </c>
      <c r="K244" t="str">
        <f>"R$ 1.864,34"</f>
        <v>R$ 1.864,34</v>
      </c>
    </row>
    <row r="245" spans="1:11" x14ac:dyDescent="0.25">
      <c r="A245" t="str">
        <f>"03640060 / 1"</f>
        <v>03640060 / 1</v>
      </c>
      <c r="B245" t="str">
        <f>"Folha Mensal"</f>
        <v>Folha Mensal</v>
      </c>
      <c r="C245" t="str">
        <f>"Carlos Aviz do Nascimento"</f>
        <v>Carlos Aviz do Nascimento</v>
      </c>
      <c r="D245" t="str">
        <f>"PENSIONISTA"</f>
        <v>PENSIONISTA</v>
      </c>
      <c r="E245" t="str">
        <f>"Pensionista"</f>
        <v>Pensionista</v>
      </c>
      <c r="F245" t="str">
        <f>"R$ 2.868,22"</f>
        <v>R$ 2.868,22</v>
      </c>
      <c r="G245" t="str">
        <f>"R$ 3.728,68"</f>
        <v>R$ 3.728,68</v>
      </c>
      <c r="H245" t="str">
        <f t="shared" si="22"/>
        <v>R$ 0,00</v>
      </c>
      <c r="I245" t="str">
        <f>"R$ 3.728,68"</f>
        <v>R$ 3.728,68</v>
      </c>
      <c r="J245" t="str">
        <f>"R$ 1.111,02"</f>
        <v>R$ 1.111,02</v>
      </c>
      <c r="K245" t="str">
        <f>"R$ 2.617,66"</f>
        <v>R$ 2.617,66</v>
      </c>
    </row>
    <row r="246" spans="1:11" x14ac:dyDescent="0.25">
      <c r="A246" t="str">
        <f>"03642518 / 1"</f>
        <v>03642518 / 1</v>
      </c>
      <c r="B246" t="str">
        <f>"13° Salário Anual"</f>
        <v>13° Salário Anual</v>
      </c>
      <c r="C246" t="str">
        <f>"Carlos da Paixao Silva"</f>
        <v>Carlos da Paixao Silva</v>
      </c>
      <c r="D246" t="str">
        <f>"PENSIONISTA DE PROFESSOR"</f>
        <v>PENSIONISTA DE PROFESSOR</v>
      </c>
      <c r="E246" t="str">
        <f>"Pensionista"</f>
        <v>Pensionista</v>
      </c>
      <c r="F246" t="str">
        <f>"R$ 1.593,46"</f>
        <v>R$ 1.593,46</v>
      </c>
      <c r="G246" t="str">
        <f>"R$ 1.991,82"</f>
        <v>R$ 1.991,82</v>
      </c>
      <c r="H246" t="str">
        <f t="shared" si="22"/>
        <v>R$ 0,00</v>
      </c>
      <c r="I246" t="str">
        <f>"R$ 1.991,82"</f>
        <v>R$ 1.991,82</v>
      </c>
      <c r="J246" t="str">
        <f>"R$ 1.002,49"</f>
        <v>R$ 1.002,49</v>
      </c>
      <c r="K246" t="str">
        <f>"R$ 989,33"</f>
        <v>R$ 989,33</v>
      </c>
    </row>
    <row r="247" spans="1:11" x14ac:dyDescent="0.25">
      <c r="A247" t="str">
        <f>"03642518 / 1"</f>
        <v>03642518 / 1</v>
      </c>
      <c r="B247" t="str">
        <f>"Folha Mensal"</f>
        <v>Folha Mensal</v>
      </c>
      <c r="C247" t="str">
        <f>"Carlos da Paixao Silva"</f>
        <v>Carlos da Paixao Silva</v>
      </c>
      <c r="D247" t="str">
        <f>"PENSIONISTA DE PROFESSOR"</f>
        <v>PENSIONISTA DE PROFESSOR</v>
      </c>
      <c r="E247" t="str">
        <f>"Pensionista"</f>
        <v>Pensionista</v>
      </c>
      <c r="F247" t="str">
        <f>"R$ 1.593,46"</f>
        <v>R$ 1.593,46</v>
      </c>
      <c r="G247" t="str">
        <f>"R$ 1.991,82"</f>
        <v>R$ 1.991,82</v>
      </c>
      <c r="H247" t="str">
        <f t="shared" si="22"/>
        <v>R$ 0,00</v>
      </c>
      <c r="I247" t="str">
        <f>"R$ 1.991,82"</f>
        <v>R$ 1.991,82</v>
      </c>
      <c r="J247" t="str">
        <f>"R$ 505,79"</f>
        <v>R$ 505,79</v>
      </c>
      <c r="K247" t="str">
        <f>"R$ 1.486,03"</f>
        <v>R$ 1.486,03</v>
      </c>
    </row>
    <row r="248" spans="1:11" x14ac:dyDescent="0.25">
      <c r="A248" t="str">
        <f>"00026379 / 2"</f>
        <v>00026379 / 2</v>
      </c>
      <c r="B248" t="str">
        <f>"13° Salário Anual"</f>
        <v>13° Salário Anual</v>
      </c>
      <c r="C248" t="str">
        <f>"Carlos Ivan Vaz dos Santos"</f>
        <v>Carlos Ivan Vaz dos Santos</v>
      </c>
      <c r="D248" t="str">
        <f>"PROFESSOR NIVEL II"</f>
        <v>PROFESSOR NIVEL II</v>
      </c>
      <c r="E248" t="str">
        <f>"Efetivo-Inativos II-RJUSM"</f>
        <v>Efetivo-Inativos II-RJUSM</v>
      </c>
      <c r="F248" t="str">
        <f>"R$ 5.903,57"</f>
        <v>R$ 5.903,57</v>
      </c>
      <c r="G248" t="str">
        <f>"R$ 5.903,57"</f>
        <v>R$ 5.903,57</v>
      </c>
      <c r="H248" t="str">
        <f t="shared" si="22"/>
        <v>R$ 0,00</v>
      </c>
      <c r="I248" t="str">
        <f>"R$ 5.903,57"</f>
        <v>R$ 5.903,57</v>
      </c>
      <c r="J248" t="str">
        <f>"R$ 2.951,78"</f>
        <v>R$ 2.951,78</v>
      </c>
      <c r="K248" t="str">
        <f>"R$ 2.951,79"</f>
        <v>R$ 2.951,79</v>
      </c>
    </row>
    <row r="249" spans="1:11" x14ac:dyDescent="0.25">
      <c r="A249" t="str">
        <f>"00026379 / 2"</f>
        <v>00026379 / 2</v>
      </c>
      <c r="B249" t="str">
        <f>"Folha Mensal"</f>
        <v>Folha Mensal</v>
      </c>
      <c r="C249" t="str">
        <f>"Carlos Ivan Vaz dos Santos"</f>
        <v>Carlos Ivan Vaz dos Santos</v>
      </c>
      <c r="D249" t="str">
        <f>"PROFESSOR NIVEL II"</f>
        <v>PROFESSOR NIVEL II</v>
      </c>
      <c r="E249" t="str">
        <f>"Efetivo-Inativos II-RJUSM"</f>
        <v>Efetivo-Inativos II-RJUSM</v>
      </c>
      <c r="F249" t="str">
        <f>"R$ 5.903,57"</f>
        <v>R$ 5.903,57</v>
      </c>
      <c r="G249" t="str">
        <f>"R$ 5.903,57"</f>
        <v>R$ 5.903,57</v>
      </c>
      <c r="H249" t="str">
        <f t="shared" si="22"/>
        <v>R$ 0,00</v>
      </c>
      <c r="I249" t="str">
        <f>"R$ 5.903,57"</f>
        <v>R$ 5.903,57</v>
      </c>
      <c r="J249" t="str">
        <f>"R$ 0,00"</f>
        <v>R$ 0,00</v>
      </c>
      <c r="K249" t="str">
        <f>"R$ 5.903,57"</f>
        <v>R$ 5.903,57</v>
      </c>
    </row>
    <row r="250" spans="1:11" x14ac:dyDescent="0.25">
      <c r="A250" t="str">
        <f>"03641074 / 1"</f>
        <v>03641074 / 1</v>
      </c>
      <c r="B250" t="str">
        <f>"13° Salário Anual"</f>
        <v>13° Salário Anual</v>
      </c>
      <c r="C250" t="str">
        <f>"Carlos Ramon Carvalho Lima"</f>
        <v>Carlos Ramon Carvalho Lima</v>
      </c>
      <c r="D250" t="str">
        <f>"DAS 05"</f>
        <v>DAS 05</v>
      </c>
      <c r="E250" t="str">
        <f>"Comissionado"</f>
        <v>Comissionado</v>
      </c>
      <c r="F250" t="str">
        <f>"R$ 2.025,00"</f>
        <v>R$ 2.025,00</v>
      </c>
      <c r="G250" t="str">
        <f>"R$ 1.687,50"</f>
        <v>R$ 1.687,50</v>
      </c>
      <c r="H250" t="str">
        <f t="shared" si="22"/>
        <v>R$ 0,00</v>
      </c>
      <c r="I250" t="str">
        <f>"R$ 1.687,50"</f>
        <v>R$ 1.687,50</v>
      </c>
      <c r="J250" t="str">
        <f>"R$ 979,12"</f>
        <v>R$ 979,12</v>
      </c>
      <c r="K250" t="str">
        <f>"R$ 708,38"</f>
        <v>R$ 708,38</v>
      </c>
    </row>
    <row r="251" spans="1:11" x14ac:dyDescent="0.25">
      <c r="A251" t="str">
        <f>"03641074 / 1"</f>
        <v>03641074 / 1</v>
      </c>
      <c r="B251" t="str">
        <f>"Folha Mensal"</f>
        <v>Folha Mensal</v>
      </c>
      <c r="C251" t="str">
        <f>"Carlos Ramon Carvalho Lima"</f>
        <v>Carlos Ramon Carvalho Lima</v>
      </c>
      <c r="D251" t="str">
        <f>"DAS 05"</f>
        <v>DAS 05</v>
      </c>
      <c r="E251" t="str">
        <f>"Comissionado"</f>
        <v>Comissionado</v>
      </c>
      <c r="F251" t="str">
        <f>"R$ 2.025,00"</f>
        <v>R$ 2.025,00</v>
      </c>
      <c r="G251" t="str">
        <f>"R$ 2.025,00"</f>
        <v>R$ 2.025,00</v>
      </c>
      <c r="H251" t="str">
        <f t="shared" si="22"/>
        <v>R$ 0,00</v>
      </c>
      <c r="I251" t="str">
        <f>"R$ 2.025,00"</f>
        <v>R$ 2.025,00</v>
      </c>
      <c r="J251" t="str">
        <f>"R$ 165,75"</f>
        <v>R$ 165,75</v>
      </c>
      <c r="K251" t="str">
        <f>"R$ 1.859,25"</f>
        <v>R$ 1.859,25</v>
      </c>
    </row>
    <row r="252" spans="1:11" x14ac:dyDescent="0.25">
      <c r="A252" t="str">
        <f>"00007056 / 1"</f>
        <v>00007056 / 1</v>
      </c>
      <c r="B252" t="str">
        <f>"13° Salário Anual"</f>
        <v>13° Salário Anual</v>
      </c>
      <c r="C252" t="str">
        <f>"Carmem de Oliveira Leal"</f>
        <v>Carmem de Oliveira Leal</v>
      </c>
      <c r="D252" t="str">
        <f>"PROFESSOR"</f>
        <v>PROFESSOR</v>
      </c>
      <c r="E252" t="str">
        <f>"Efetivo-Inativo I- RJUSM"</f>
        <v>Efetivo-Inativo I- RJUSM</v>
      </c>
      <c r="F252" t="str">
        <f>"R$ 1.593,46"</f>
        <v>R$ 1.593,46</v>
      </c>
      <c r="G252" t="str">
        <f>"R$ 1.991,82"</f>
        <v>R$ 1.991,82</v>
      </c>
      <c r="H252" t="str">
        <f t="shared" si="22"/>
        <v>R$ 0,00</v>
      </c>
      <c r="I252" t="str">
        <f>"R$ 1.991,82"</f>
        <v>R$ 1.991,82</v>
      </c>
      <c r="J252" t="str">
        <f>"R$ 995,91"</f>
        <v>R$ 995,91</v>
      </c>
      <c r="K252" t="str">
        <f>"R$ 995,91"</f>
        <v>R$ 995,91</v>
      </c>
    </row>
    <row r="253" spans="1:11" x14ac:dyDescent="0.25">
      <c r="A253" t="str">
        <f>"00007056 / 1"</f>
        <v>00007056 / 1</v>
      </c>
      <c r="B253" t="str">
        <f>"Folha Mensal"</f>
        <v>Folha Mensal</v>
      </c>
      <c r="C253" t="str">
        <f>"Carmem de Oliveira Leal"</f>
        <v>Carmem de Oliveira Leal</v>
      </c>
      <c r="D253" t="str">
        <f>"PROFESSOR"</f>
        <v>PROFESSOR</v>
      </c>
      <c r="E253" t="str">
        <f>"Efetivo-Inativo I- RJUSM"</f>
        <v>Efetivo-Inativo I- RJUSM</v>
      </c>
      <c r="F253" t="str">
        <f>"R$ 1.593,46"</f>
        <v>R$ 1.593,46</v>
      </c>
      <c r="G253" t="str">
        <f>"R$ 1.991,82"</f>
        <v>R$ 1.991,82</v>
      </c>
      <c r="H253" t="str">
        <f t="shared" si="22"/>
        <v>R$ 0,00</v>
      </c>
      <c r="I253" t="str">
        <f>"R$ 1.991,82"</f>
        <v>R$ 1.991,82</v>
      </c>
      <c r="J253" t="str">
        <f>"R$ 0,00"</f>
        <v>R$ 0,00</v>
      </c>
      <c r="K253" t="str">
        <f>"R$ 1.991,82"</f>
        <v>R$ 1.991,82</v>
      </c>
    </row>
    <row r="254" spans="1:11" x14ac:dyDescent="0.25">
      <c r="A254" t="str">
        <f>"00026000 / 1"</f>
        <v>00026000 / 1</v>
      </c>
      <c r="B254" t="str">
        <f>"13° Salário Anual"</f>
        <v>13° Salário Anual</v>
      </c>
      <c r="C254" t="str">
        <f>"Carmem Lucia Freitas de Oliveira"</f>
        <v>Carmem Lucia Freitas de Oliveira</v>
      </c>
      <c r="D254" t="str">
        <f>"PROFESSOR"</f>
        <v>PROFESSOR</v>
      </c>
      <c r="E254" t="str">
        <f>"Efetivo-Inativo I- RJUSM"</f>
        <v>Efetivo-Inativo I- RJUSM</v>
      </c>
      <c r="F254" t="str">
        <f>"R$ 1.593,46"</f>
        <v>R$ 1.593,46</v>
      </c>
      <c r="G254" t="str">
        <f>"R$ 1.991,82"</f>
        <v>R$ 1.991,82</v>
      </c>
      <c r="H254" t="str">
        <f t="shared" ref="H254:H290" si="24">"R$ 0,00"</f>
        <v>R$ 0,00</v>
      </c>
      <c r="I254" t="str">
        <f>"R$ 1.991,82"</f>
        <v>R$ 1.991,82</v>
      </c>
      <c r="J254" t="str">
        <f>"R$ 995,91"</f>
        <v>R$ 995,91</v>
      </c>
      <c r="K254" t="str">
        <f>"R$ 995,91"</f>
        <v>R$ 995,91</v>
      </c>
    </row>
    <row r="255" spans="1:11" x14ac:dyDescent="0.25">
      <c r="A255" t="str">
        <f>"00026000 / 1"</f>
        <v>00026000 / 1</v>
      </c>
      <c r="B255" t="str">
        <f>"Folha Mensal"</f>
        <v>Folha Mensal</v>
      </c>
      <c r="C255" t="str">
        <f>"Carmem Lucia Freitas de Oliveira"</f>
        <v>Carmem Lucia Freitas de Oliveira</v>
      </c>
      <c r="D255" t="str">
        <f>"PROFESSOR"</f>
        <v>PROFESSOR</v>
      </c>
      <c r="E255" t="str">
        <f>"Efetivo-Inativo I- RJUSM"</f>
        <v>Efetivo-Inativo I- RJUSM</v>
      </c>
      <c r="F255" t="str">
        <f>"R$ 1.593,46"</f>
        <v>R$ 1.593,46</v>
      </c>
      <c r="G255" t="str">
        <f>"R$ 1.991,82"</f>
        <v>R$ 1.991,82</v>
      </c>
      <c r="H255" t="str">
        <f t="shared" si="24"/>
        <v>R$ 0,00</v>
      </c>
      <c r="I255" t="str">
        <f>"R$ 1.991,82"</f>
        <v>R$ 1.991,82</v>
      </c>
      <c r="J255" t="str">
        <f>"R$ 0,00"</f>
        <v>R$ 0,00</v>
      </c>
      <c r="K255" t="str">
        <f>"R$ 1.991,82"</f>
        <v>R$ 1.991,82</v>
      </c>
    </row>
    <row r="256" spans="1:11" x14ac:dyDescent="0.25">
      <c r="A256" t="str">
        <f>"00164836 / 1"</f>
        <v>00164836 / 1</v>
      </c>
      <c r="B256" t="str">
        <f>"13° Salário Anual"</f>
        <v>13° Salário Anual</v>
      </c>
      <c r="C256" t="str">
        <f>"Carmem Lucia Gama Pacheco"</f>
        <v>Carmem Lucia Gama Pacheco</v>
      </c>
      <c r="D256" t="str">
        <f>"PROP INVALIDEZ"</f>
        <v>PROP INVALIDEZ</v>
      </c>
      <c r="E256" t="str">
        <f>"Efetivo-Inativos II-RJUSM"</f>
        <v>Efetivo-Inativos II-RJUSM</v>
      </c>
      <c r="F256" t="str">
        <f>"R$ 1.100,00"</f>
        <v>R$ 1.100,00</v>
      </c>
      <c r="G256" t="str">
        <f>"R$ 1.100,00"</f>
        <v>R$ 1.100,00</v>
      </c>
      <c r="H256" t="str">
        <f t="shared" si="24"/>
        <v>R$ 0,00</v>
      </c>
      <c r="I256" t="str">
        <f>"R$ 1.100,00"</f>
        <v>R$ 1.100,00</v>
      </c>
      <c r="J256" t="str">
        <f>"R$ 550,00"</f>
        <v>R$ 550,00</v>
      </c>
      <c r="K256" t="str">
        <f>"R$ 550,00"</f>
        <v>R$ 550,00</v>
      </c>
    </row>
    <row r="257" spans="1:11" x14ac:dyDescent="0.25">
      <c r="A257" t="str">
        <f>"00164836 / 1"</f>
        <v>00164836 / 1</v>
      </c>
      <c r="B257" t="str">
        <f>"Folha Mensal"</f>
        <v>Folha Mensal</v>
      </c>
      <c r="C257" t="str">
        <f>"Carmem Lucia Gama Pacheco"</f>
        <v>Carmem Lucia Gama Pacheco</v>
      </c>
      <c r="D257" t="str">
        <f>"PROP INVALIDEZ"</f>
        <v>PROP INVALIDEZ</v>
      </c>
      <c r="E257" t="str">
        <f>"Efetivo-Inativos II-RJUSM"</f>
        <v>Efetivo-Inativos II-RJUSM</v>
      </c>
      <c r="F257" t="str">
        <f>"R$ 1.100,00"</f>
        <v>R$ 1.100,00</v>
      </c>
      <c r="G257" t="str">
        <f>"R$ 1.100,00"</f>
        <v>R$ 1.100,00</v>
      </c>
      <c r="H257" t="str">
        <f t="shared" si="24"/>
        <v>R$ 0,00</v>
      </c>
      <c r="I257" t="str">
        <f>"R$ 1.100,00"</f>
        <v>R$ 1.100,00</v>
      </c>
      <c r="J257" t="str">
        <f>"R$ 374,76"</f>
        <v>R$ 374,76</v>
      </c>
      <c r="K257" t="str">
        <f>"R$ 725,24"</f>
        <v>R$ 725,24</v>
      </c>
    </row>
    <row r="258" spans="1:11" x14ac:dyDescent="0.25">
      <c r="A258" t="str">
        <f>"00024104 / 1"</f>
        <v>00024104 / 1</v>
      </c>
      <c r="B258" t="str">
        <f>"13° Salário Anual"</f>
        <v>13° Salário Anual</v>
      </c>
      <c r="C258" t="str">
        <f>"Carmem Maria Macedo Garcia"</f>
        <v>Carmem Maria Macedo Garcia</v>
      </c>
      <c r="D258" t="str">
        <f>"PROFESSOR"</f>
        <v>PROFESSOR</v>
      </c>
      <c r="E258" t="str">
        <f>"Efetivo-Inativo I- RJUSM"</f>
        <v>Efetivo-Inativo I- RJUSM</v>
      </c>
      <c r="F258" t="str">
        <f>"R$ 2.071,51"</f>
        <v>R$ 2.071,51</v>
      </c>
      <c r="G258" t="str">
        <f>"R$ 2.589,38"</f>
        <v>R$ 2.589,38</v>
      </c>
      <c r="H258" t="str">
        <f t="shared" si="24"/>
        <v>R$ 0,00</v>
      </c>
      <c r="I258" t="str">
        <f>"R$ 2.589,38"</f>
        <v>R$ 2.589,38</v>
      </c>
      <c r="J258" t="str">
        <f>"R$ 1.294,69"</f>
        <v>R$ 1.294,69</v>
      </c>
      <c r="K258" t="str">
        <f>"R$ 1.294,69"</f>
        <v>R$ 1.294,69</v>
      </c>
    </row>
    <row r="259" spans="1:11" x14ac:dyDescent="0.25">
      <c r="A259" t="str">
        <f>"00024104 / 1"</f>
        <v>00024104 / 1</v>
      </c>
      <c r="B259" t="str">
        <f>"Folha Mensal"</f>
        <v>Folha Mensal</v>
      </c>
      <c r="C259" t="str">
        <f>"Carmem Maria Macedo Garcia"</f>
        <v>Carmem Maria Macedo Garcia</v>
      </c>
      <c r="D259" t="str">
        <f>"PROFESSOR"</f>
        <v>PROFESSOR</v>
      </c>
      <c r="E259" t="str">
        <f>"Efetivo-Inativo I- RJUSM"</f>
        <v>Efetivo-Inativo I- RJUSM</v>
      </c>
      <c r="F259" t="str">
        <f>"R$ 2.071,51"</f>
        <v>R$ 2.071,51</v>
      </c>
      <c r="G259" t="str">
        <f>"R$ 2.589,38"</f>
        <v>R$ 2.589,38</v>
      </c>
      <c r="H259" t="str">
        <f t="shared" si="24"/>
        <v>R$ 0,00</v>
      </c>
      <c r="I259" t="str">
        <f>"R$ 2.589,38"</f>
        <v>R$ 2.589,38</v>
      </c>
      <c r="J259" t="str">
        <f>"R$ 0,00"</f>
        <v>R$ 0,00</v>
      </c>
      <c r="K259" t="str">
        <f>"R$ 2.589,38"</f>
        <v>R$ 2.589,38</v>
      </c>
    </row>
    <row r="260" spans="1:11" x14ac:dyDescent="0.25">
      <c r="A260" t="str">
        <f>"00051845 / 1"</f>
        <v>00051845 / 1</v>
      </c>
      <c r="B260" t="str">
        <f>"13° Salário Anual"</f>
        <v>13° Salário Anual</v>
      </c>
      <c r="C260" t="str">
        <f>"Carmen Lucia Campelo Palheta"</f>
        <v>Carmen Lucia Campelo Palheta</v>
      </c>
      <c r="D260" t="str">
        <f>"PROFESSOR NIVEL II"</f>
        <v>PROFESSOR NIVEL II</v>
      </c>
      <c r="E260" t="str">
        <f>"Efetivo-Inativos II-RJUSM"</f>
        <v>Efetivo-Inativos II-RJUSM</v>
      </c>
      <c r="F260" t="str">
        <f>"R$ 5.258,43"</f>
        <v>R$ 5.258,43</v>
      </c>
      <c r="G260" t="str">
        <f>"R$ 6.310,11"</f>
        <v>R$ 6.310,11</v>
      </c>
      <c r="H260" t="str">
        <f t="shared" si="24"/>
        <v>R$ 0,00</v>
      </c>
      <c r="I260" t="str">
        <f>"R$ 6.310,11"</f>
        <v>R$ 6.310,11</v>
      </c>
      <c r="J260" t="str">
        <f>"R$ 4.042,18"</f>
        <v>R$ 4.042,18</v>
      </c>
      <c r="K260" t="str">
        <f>"R$ 2.267,93"</f>
        <v>R$ 2.267,93</v>
      </c>
    </row>
    <row r="261" spans="1:11" x14ac:dyDescent="0.25">
      <c r="A261" t="str">
        <f>"00051845 / 1"</f>
        <v>00051845 / 1</v>
      </c>
      <c r="B261" t="str">
        <f>"Folha Mensal"</f>
        <v>Folha Mensal</v>
      </c>
      <c r="C261" t="str">
        <f>"Carmen Lucia Campelo Palheta"</f>
        <v>Carmen Lucia Campelo Palheta</v>
      </c>
      <c r="D261" t="str">
        <f>"PROFESSOR NIVEL II"</f>
        <v>PROFESSOR NIVEL II</v>
      </c>
      <c r="E261" t="str">
        <f>"Efetivo-Inativos II-RJUSM"</f>
        <v>Efetivo-Inativos II-RJUSM</v>
      </c>
      <c r="F261" t="str">
        <f>"R$ 5.258,43"</f>
        <v>R$ 5.258,43</v>
      </c>
      <c r="G261" t="str">
        <f>"R$ 6.310,11"</f>
        <v>R$ 6.310,11</v>
      </c>
      <c r="H261" t="str">
        <f t="shared" si="24"/>
        <v>R$ 0,00</v>
      </c>
      <c r="I261" t="str">
        <f>"R$ 6.310,11"</f>
        <v>R$ 6.310,11</v>
      </c>
      <c r="J261" t="str">
        <f>"R$ 2.784,57"</f>
        <v>R$ 2.784,57</v>
      </c>
      <c r="K261" t="str">
        <f>"R$ 3.525,54"</f>
        <v>R$ 3.525,54</v>
      </c>
    </row>
    <row r="262" spans="1:11" x14ac:dyDescent="0.25">
      <c r="A262" t="str">
        <f>"00010600 / 1"</f>
        <v>00010600 / 1</v>
      </c>
      <c r="B262" t="str">
        <f>"13° Salário Anual"</f>
        <v>13° Salário Anual</v>
      </c>
      <c r="C262" t="str">
        <f>"Carmen Maria Souza e Silva"</f>
        <v>Carmen Maria Souza e Silva</v>
      </c>
      <c r="D262" t="str">
        <f>"PROFESSOR"</f>
        <v>PROFESSOR</v>
      </c>
      <c r="E262" t="str">
        <f>"Efetivo-Inativo I- RJUSM"</f>
        <v>Efetivo-Inativo I- RJUSM</v>
      </c>
      <c r="F262" t="str">
        <f>"R$ 1.673,12"</f>
        <v>R$ 1.673,12</v>
      </c>
      <c r="G262" t="str">
        <f>"R$ 2.091,40"</f>
        <v>R$ 2.091,40</v>
      </c>
      <c r="H262" t="str">
        <f t="shared" si="24"/>
        <v>R$ 0,00</v>
      </c>
      <c r="I262" t="str">
        <f>"R$ 2.091,40"</f>
        <v>R$ 2.091,40</v>
      </c>
      <c r="J262" t="str">
        <f>"R$ 1.045,70"</f>
        <v>R$ 1.045,70</v>
      </c>
      <c r="K262" t="str">
        <f>"R$ 1.045,70"</f>
        <v>R$ 1.045,70</v>
      </c>
    </row>
    <row r="263" spans="1:11" x14ac:dyDescent="0.25">
      <c r="A263" t="str">
        <f>"00010600 / 1"</f>
        <v>00010600 / 1</v>
      </c>
      <c r="B263" t="str">
        <f>"Folha Mensal"</f>
        <v>Folha Mensal</v>
      </c>
      <c r="C263" t="str">
        <f>"Carmen Maria Souza e Silva"</f>
        <v>Carmen Maria Souza e Silva</v>
      </c>
      <c r="D263" t="str">
        <f>"PROFESSOR"</f>
        <v>PROFESSOR</v>
      </c>
      <c r="E263" t="str">
        <f>"Efetivo-Inativo I- RJUSM"</f>
        <v>Efetivo-Inativo I- RJUSM</v>
      </c>
      <c r="F263" t="str">
        <f>"R$ 1.673,12"</f>
        <v>R$ 1.673,12</v>
      </c>
      <c r="G263" t="str">
        <f>"R$ 2.091,40"</f>
        <v>R$ 2.091,40</v>
      </c>
      <c r="H263" t="str">
        <f t="shared" si="24"/>
        <v>R$ 0,00</v>
      </c>
      <c r="I263" t="str">
        <f>"R$ 2.091,40"</f>
        <v>R$ 2.091,40</v>
      </c>
      <c r="J263" t="str">
        <f>"R$ 622,33"</f>
        <v>R$ 622,33</v>
      </c>
      <c r="K263" t="str">
        <f>"R$ 1.469,07"</f>
        <v>R$ 1.469,07</v>
      </c>
    </row>
    <row r="264" spans="1:11" x14ac:dyDescent="0.25">
      <c r="A264" t="str">
        <f>"00007803 / 2"</f>
        <v>00007803 / 2</v>
      </c>
      <c r="B264" t="str">
        <f>"13° Salário Anual"</f>
        <v>13° Salário Anual</v>
      </c>
      <c r="C264" t="str">
        <f>"Carmen Rocha Pereira"</f>
        <v>Carmen Rocha Pereira</v>
      </c>
      <c r="D264" t="str">
        <f>"INT TEMP CONTRIBUICAO"</f>
        <v>INT TEMP CONTRIBUICAO</v>
      </c>
      <c r="E264" t="str">
        <f>"Efetivo-Inativo I- RJUSM"</f>
        <v>Efetivo-Inativo I- RJUSM</v>
      </c>
      <c r="F264" t="str">
        <f>"R$ 1.100,00"</f>
        <v>R$ 1.100,00</v>
      </c>
      <c r="G264" t="str">
        <f>"R$ 1.375,00"</f>
        <v>R$ 1.375,00</v>
      </c>
      <c r="H264" t="str">
        <f t="shared" si="24"/>
        <v>R$ 0,00</v>
      </c>
      <c r="I264" t="str">
        <f>"R$ 1.375,00"</f>
        <v>R$ 1.375,00</v>
      </c>
      <c r="J264" t="str">
        <f>"R$ 687,50"</f>
        <v>R$ 687,50</v>
      </c>
      <c r="K264" t="str">
        <f>"R$ 687,50"</f>
        <v>R$ 687,50</v>
      </c>
    </row>
    <row r="265" spans="1:11" x14ac:dyDescent="0.25">
      <c r="A265" t="str">
        <f>"00007803 / 2"</f>
        <v>00007803 / 2</v>
      </c>
      <c r="B265" t="str">
        <f>"Folha Mensal"</f>
        <v>Folha Mensal</v>
      </c>
      <c r="C265" t="str">
        <f>"Carmen Rocha Pereira"</f>
        <v>Carmen Rocha Pereira</v>
      </c>
      <c r="D265" t="str">
        <f>"INT TEMP CONTRIBUICAO"</f>
        <v>INT TEMP CONTRIBUICAO</v>
      </c>
      <c r="E265" t="str">
        <f>"Efetivo-Inativo I- RJUSM"</f>
        <v>Efetivo-Inativo I- RJUSM</v>
      </c>
      <c r="F265" t="str">
        <f>"R$ 1.100,00"</f>
        <v>R$ 1.100,00</v>
      </c>
      <c r="G265" t="str">
        <f>"R$ 1.375,00"</f>
        <v>R$ 1.375,00</v>
      </c>
      <c r="H265" t="str">
        <f t="shared" si="24"/>
        <v>R$ 0,00</v>
      </c>
      <c r="I265" t="str">
        <f>"R$ 1.375,00"</f>
        <v>R$ 1.375,00</v>
      </c>
      <c r="J265" t="str">
        <f>"R$ 418,54"</f>
        <v>R$ 418,54</v>
      </c>
      <c r="K265" t="str">
        <f>"R$ 956,46"</f>
        <v>R$ 956,46</v>
      </c>
    </row>
    <row r="266" spans="1:11" x14ac:dyDescent="0.25">
      <c r="A266" t="str">
        <f>"00007803 / 1"</f>
        <v>00007803 / 1</v>
      </c>
      <c r="B266" t="str">
        <f>"13° Salário Anual"</f>
        <v>13° Salário Anual</v>
      </c>
      <c r="C266" t="str">
        <f>"Carmen Rocha Pereira"</f>
        <v>Carmen Rocha Pereira</v>
      </c>
      <c r="D266" t="str">
        <f>"PENSIONISTA"</f>
        <v>PENSIONISTA</v>
      </c>
      <c r="E266" t="str">
        <f>"Pensionista"</f>
        <v>Pensionista</v>
      </c>
      <c r="F266" t="str">
        <f>"R$ 1.100,00"</f>
        <v>R$ 1.100,00</v>
      </c>
      <c r="G266" t="str">
        <f>"R$ 1.559,52"</f>
        <v>R$ 1.559,52</v>
      </c>
      <c r="H266" t="str">
        <f t="shared" si="24"/>
        <v>R$ 0,00</v>
      </c>
      <c r="I266" t="str">
        <f>"R$ 1.559,52"</f>
        <v>R$ 1.559,52</v>
      </c>
      <c r="J266" t="str">
        <f>"R$ 779,76"</f>
        <v>R$ 779,76</v>
      </c>
      <c r="K266" t="str">
        <f>"R$ 779,76"</f>
        <v>R$ 779,76</v>
      </c>
    </row>
    <row r="267" spans="1:11" x14ac:dyDescent="0.25">
      <c r="A267" t="str">
        <f>"00007803 / 1"</f>
        <v>00007803 / 1</v>
      </c>
      <c r="B267" t="str">
        <f>"Folha Mensal"</f>
        <v>Folha Mensal</v>
      </c>
      <c r="C267" t="str">
        <f>"Carmen Rocha Pereira"</f>
        <v>Carmen Rocha Pereira</v>
      </c>
      <c r="D267" t="str">
        <f>"PENSIONISTA"</f>
        <v>PENSIONISTA</v>
      </c>
      <c r="E267" t="str">
        <f>"Pensionista"</f>
        <v>Pensionista</v>
      </c>
      <c r="F267" t="str">
        <f>"R$ 1.100,00"</f>
        <v>R$ 1.100,00</v>
      </c>
      <c r="G267" t="str">
        <f>"R$ 1.559,52"</f>
        <v>R$ 1.559,52</v>
      </c>
      <c r="H267" t="str">
        <f t="shared" si="24"/>
        <v>R$ 0,00</v>
      </c>
      <c r="I267" t="str">
        <f>"R$ 1.559,52"</f>
        <v>R$ 1.559,52</v>
      </c>
      <c r="J267" t="str">
        <f>"R$ 461,31"</f>
        <v>R$ 461,31</v>
      </c>
      <c r="K267" t="str">
        <f>"R$ 1.098,21"</f>
        <v>R$ 1.098,21</v>
      </c>
    </row>
    <row r="268" spans="1:11" x14ac:dyDescent="0.25">
      <c r="A268" t="str">
        <f>"00030597 / 1"</f>
        <v>00030597 / 1</v>
      </c>
      <c r="B268" t="str">
        <f>"13° Salário Anual"</f>
        <v>13° Salário Anual</v>
      </c>
      <c r="C268" t="str">
        <f>"Catharina Ribeiro Costa"</f>
        <v>Catharina Ribeiro Costa</v>
      </c>
      <c r="D268" t="str">
        <f>"PROP COMPULSORIA"</f>
        <v>PROP COMPULSORIA</v>
      </c>
      <c r="E268" t="str">
        <f>"Efetivo-Inativo I- RJUSM"</f>
        <v>Efetivo-Inativo I- RJUSM</v>
      </c>
      <c r="F268" t="str">
        <f>"R$ 1.055,32"</f>
        <v>R$ 1.055,32</v>
      </c>
      <c r="G268" t="str">
        <f>"R$ 1.100,00"</f>
        <v>R$ 1.100,00</v>
      </c>
      <c r="H268" t="str">
        <f t="shared" si="24"/>
        <v>R$ 0,00</v>
      </c>
      <c r="I268" t="str">
        <f>"R$ 1.100,00"</f>
        <v>R$ 1.100,00</v>
      </c>
      <c r="J268" t="str">
        <f>"R$ 550,00"</f>
        <v>R$ 550,00</v>
      </c>
      <c r="K268" t="str">
        <f>"R$ 550,00"</f>
        <v>R$ 550,00</v>
      </c>
    </row>
    <row r="269" spans="1:11" x14ac:dyDescent="0.25">
      <c r="A269" t="str">
        <f>"00030597 / 1"</f>
        <v>00030597 / 1</v>
      </c>
      <c r="B269" t="str">
        <f>"Folha Mensal"</f>
        <v>Folha Mensal</v>
      </c>
      <c r="C269" t="str">
        <f>"Catharina Ribeiro Costa"</f>
        <v>Catharina Ribeiro Costa</v>
      </c>
      <c r="D269" t="str">
        <f>"PROP COMPULSORIA"</f>
        <v>PROP COMPULSORIA</v>
      </c>
      <c r="E269" t="str">
        <f>"Efetivo-Inativo I- RJUSM"</f>
        <v>Efetivo-Inativo I- RJUSM</v>
      </c>
      <c r="F269" t="str">
        <f>"R$ 1.055,32"</f>
        <v>R$ 1.055,32</v>
      </c>
      <c r="G269" t="str">
        <f>"R$ 1.100,00"</f>
        <v>R$ 1.100,00</v>
      </c>
      <c r="H269" t="str">
        <f t="shared" si="24"/>
        <v>R$ 0,00</v>
      </c>
      <c r="I269" t="str">
        <f>"R$ 1.100,00"</f>
        <v>R$ 1.100,00</v>
      </c>
      <c r="J269" t="str">
        <f>"R$ 0,00"</f>
        <v>R$ 0,00</v>
      </c>
      <c r="K269" t="str">
        <f>"R$ 1.100,00"</f>
        <v>R$ 1.100,00</v>
      </c>
    </row>
    <row r="270" spans="1:11" x14ac:dyDescent="0.25">
      <c r="A270" t="str">
        <f>"00005096 / 1"</f>
        <v>00005096 / 1</v>
      </c>
      <c r="B270" t="str">
        <f>"13° Salário Anual"</f>
        <v>13° Salário Anual</v>
      </c>
      <c r="C270" t="str">
        <f>"Celair de Vilhena Chagas"</f>
        <v>Celair de Vilhena Chagas</v>
      </c>
      <c r="D270" t="str">
        <f>"PROFESSOR"</f>
        <v>PROFESSOR</v>
      </c>
      <c r="E270" t="str">
        <f>"Efetivo-Inativo I- RJUSM"</f>
        <v>Efetivo-Inativo I- RJUSM</v>
      </c>
      <c r="F270" t="str">
        <f>"R$ 2.071,51"</f>
        <v>R$ 2.071,51</v>
      </c>
      <c r="G270" t="str">
        <f>"R$ 2.589,38"</f>
        <v>R$ 2.589,38</v>
      </c>
      <c r="H270" t="str">
        <f t="shared" si="24"/>
        <v>R$ 0,00</v>
      </c>
      <c r="I270" t="str">
        <f>"R$ 2.589,38"</f>
        <v>R$ 2.589,38</v>
      </c>
      <c r="J270" t="str">
        <f>"R$ 1.294,69"</f>
        <v>R$ 1.294,69</v>
      </c>
      <c r="K270" t="str">
        <f>"R$ 1.294,69"</f>
        <v>R$ 1.294,69</v>
      </c>
    </row>
    <row r="271" spans="1:11" x14ac:dyDescent="0.25">
      <c r="A271" t="str">
        <f>"00005096 / 1"</f>
        <v>00005096 / 1</v>
      </c>
      <c r="B271" t="str">
        <f>"Folha Mensal"</f>
        <v>Folha Mensal</v>
      </c>
      <c r="C271" t="str">
        <f>"Celair de Vilhena Chagas"</f>
        <v>Celair de Vilhena Chagas</v>
      </c>
      <c r="D271" t="str">
        <f>"PROFESSOR"</f>
        <v>PROFESSOR</v>
      </c>
      <c r="E271" t="str">
        <f>"Efetivo-Inativo I- RJUSM"</f>
        <v>Efetivo-Inativo I- RJUSM</v>
      </c>
      <c r="F271" t="str">
        <f>"R$ 2.071,51"</f>
        <v>R$ 2.071,51</v>
      </c>
      <c r="G271" t="str">
        <f>"R$ 2.589,38"</f>
        <v>R$ 2.589,38</v>
      </c>
      <c r="H271" t="str">
        <f t="shared" si="24"/>
        <v>R$ 0,00</v>
      </c>
      <c r="I271" t="str">
        <f>"R$ 2.589,38"</f>
        <v>R$ 2.589,38</v>
      </c>
      <c r="J271" t="str">
        <f>"R$ 903,33"</f>
        <v>R$ 903,33</v>
      </c>
      <c r="K271" t="str">
        <f>"R$ 1.686,05"</f>
        <v>R$ 1.686,05</v>
      </c>
    </row>
    <row r="272" spans="1:11" x14ac:dyDescent="0.25">
      <c r="A272" t="str">
        <f>"03642810 / 1"</f>
        <v>03642810 / 1</v>
      </c>
      <c r="B272" t="str">
        <f>"13° Salário Anual"</f>
        <v>13° Salário Anual</v>
      </c>
      <c r="C272" t="str">
        <f>"Celestina da Silva Tavares"</f>
        <v>Celestina da Silva Tavares</v>
      </c>
      <c r="D272" t="str">
        <f>"PENSIONISTA"</f>
        <v>PENSIONISTA</v>
      </c>
      <c r="E272" t="str">
        <f>"Pensionista"</f>
        <v>Pensionista</v>
      </c>
      <c r="F272" t="str">
        <f>"R$ 1.100,00"</f>
        <v>R$ 1.100,00</v>
      </c>
      <c r="G272" t="str">
        <f>"R$ 1.100,00"</f>
        <v>R$ 1.100,00</v>
      </c>
      <c r="H272" t="str">
        <f t="shared" si="24"/>
        <v>R$ 0,00</v>
      </c>
      <c r="I272" t="str">
        <f>"R$ 1.100,00"</f>
        <v>R$ 1.100,00</v>
      </c>
      <c r="J272" t="str">
        <f>"R$ 550,00"</f>
        <v>R$ 550,00</v>
      </c>
      <c r="K272" t="str">
        <f>"R$ 550,00"</f>
        <v>R$ 550,00</v>
      </c>
    </row>
    <row r="273" spans="1:11" x14ac:dyDescent="0.25">
      <c r="A273" t="str">
        <f>"03642810 / 1"</f>
        <v>03642810 / 1</v>
      </c>
      <c r="B273" t="str">
        <f>"Folha Mensal"</f>
        <v>Folha Mensal</v>
      </c>
      <c r="C273" t="str">
        <f>"Celestina da Silva Tavares"</f>
        <v>Celestina da Silva Tavares</v>
      </c>
      <c r="D273" t="str">
        <f>"PENSIONISTA"</f>
        <v>PENSIONISTA</v>
      </c>
      <c r="E273" t="str">
        <f>"Pensionista"</f>
        <v>Pensionista</v>
      </c>
      <c r="F273" t="str">
        <f>"R$ 1.100,00"</f>
        <v>R$ 1.100,00</v>
      </c>
      <c r="G273" t="str">
        <f>"R$ 1.100,00"</f>
        <v>R$ 1.100,00</v>
      </c>
      <c r="H273" t="str">
        <f t="shared" si="24"/>
        <v>R$ 0,00</v>
      </c>
      <c r="I273" t="str">
        <f>"R$ 1.100,00"</f>
        <v>R$ 1.100,00</v>
      </c>
      <c r="J273" t="str">
        <f>"R$ 47,90"</f>
        <v>R$ 47,90</v>
      </c>
      <c r="K273" t="str">
        <f>"R$ 1.052,10"</f>
        <v>R$ 1.052,10</v>
      </c>
    </row>
    <row r="274" spans="1:11" x14ac:dyDescent="0.25">
      <c r="A274" t="str">
        <f>"00027103 / 1"</f>
        <v>00027103 / 1</v>
      </c>
      <c r="B274" t="str">
        <f>"13° Salário Anual"</f>
        <v>13° Salário Anual</v>
      </c>
      <c r="C274" t="str">
        <f>"Celia Maria Santos Araujo"</f>
        <v>Celia Maria Santos Araujo</v>
      </c>
      <c r="D274" t="str">
        <f>"PROFESSOR"</f>
        <v>PROFESSOR</v>
      </c>
      <c r="E274" t="str">
        <f t="shared" ref="E274:E287" si="25">"Efetivo-Inativo I- RJUSM"</f>
        <v>Efetivo-Inativo I- RJUSM</v>
      </c>
      <c r="F274" t="str">
        <f>"R$ 1.593,46"</f>
        <v>R$ 1.593,46</v>
      </c>
      <c r="G274" t="str">
        <f>"R$ 3.136,54"</f>
        <v>R$ 3.136,54</v>
      </c>
      <c r="H274" t="str">
        <f t="shared" si="24"/>
        <v>R$ 0,00</v>
      </c>
      <c r="I274" t="str">
        <f>"R$ 3.136,54"</f>
        <v>R$ 3.136,54</v>
      </c>
      <c r="J274" t="str">
        <f>"R$ 1.568,27"</f>
        <v>R$ 1.568,27</v>
      </c>
      <c r="K274" t="str">
        <f>"R$ 1.568,27"</f>
        <v>R$ 1.568,27</v>
      </c>
    </row>
    <row r="275" spans="1:11" x14ac:dyDescent="0.25">
      <c r="A275" t="str">
        <f>"00027103 / 1"</f>
        <v>00027103 / 1</v>
      </c>
      <c r="B275" t="str">
        <f>"Folha Mensal"</f>
        <v>Folha Mensal</v>
      </c>
      <c r="C275" t="str">
        <f>"Celia Maria Santos Araujo"</f>
        <v>Celia Maria Santos Araujo</v>
      </c>
      <c r="D275" t="str">
        <f>"PROFESSOR"</f>
        <v>PROFESSOR</v>
      </c>
      <c r="E275" t="str">
        <f t="shared" si="25"/>
        <v>Efetivo-Inativo I- RJUSM</v>
      </c>
      <c r="F275" t="str">
        <f>"R$ 1.593,46"</f>
        <v>R$ 1.593,46</v>
      </c>
      <c r="G275" t="str">
        <f>"R$ 3.136,54"</f>
        <v>R$ 3.136,54</v>
      </c>
      <c r="H275" t="str">
        <f t="shared" si="24"/>
        <v>R$ 0,00</v>
      </c>
      <c r="I275" t="str">
        <f>"R$ 3.136,54"</f>
        <v>R$ 3.136,54</v>
      </c>
      <c r="J275" t="str">
        <f>"R$ 0,00"</f>
        <v>R$ 0,00</v>
      </c>
      <c r="K275" t="str">
        <f>"R$ 3.136,54"</f>
        <v>R$ 3.136,54</v>
      </c>
    </row>
    <row r="276" spans="1:11" x14ac:dyDescent="0.25">
      <c r="A276" t="str">
        <f>"00009679 / 1"</f>
        <v>00009679 / 1</v>
      </c>
      <c r="B276" t="str">
        <f>"13° Salário Anual"</f>
        <v>13° Salário Anual</v>
      </c>
      <c r="C276" t="str">
        <f>"Celia Regina Moraes Amaral"</f>
        <v>Celia Regina Moraes Amaral</v>
      </c>
      <c r="D276" t="str">
        <f>"INT TEMP CONTRIBUICAO"</f>
        <v>INT TEMP CONTRIBUICAO</v>
      </c>
      <c r="E276" t="str">
        <f t="shared" si="25"/>
        <v>Efetivo-Inativo I- RJUSM</v>
      </c>
      <c r="F276" t="str">
        <f>"R$ 1.100,00"</f>
        <v>R$ 1.100,00</v>
      </c>
      <c r="G276" t="str">
        <f>"R$ 1.430,00"</f>
        <v>R$ 1.430,00</v>
      </c>
      <c r="H276" t="str">
        <f t="shared" si="24"/>
        <v>R$ 0,00</v>
      </c>
      <c r="I276" t="str">
        <f>"R$ 1.430,00"</f>
        <v>R$ 1.430,00</v>
      </c>
      <c r="J276" t="str">
        <f>"R$ 715,00"</f>
        <v>R$ 715,00</v>
      </c>
      <c r="K276" t="str">
        <f>"R$ 715,00"</f>
        <v>R$ 715,00</v>
      </c>
    </row>
    <row r="277" spans="1:11" x14ac:dyDescent="0.25">
      <c r="A277" t="str">
        <f>"00009679 / 1"</f>
        <v>00009679 / 1</v>
      </c>
      <c r="B277" t="str">
        <f>"Folha Mensal"</f>
        <v>Folha Mensal</v>
      </c>
      <c r="C277" t="str">
        <f>"Celia Regina Moraes Amaral"</f>
        <v>Celia Regina Moraes Amaral</v>
      </c>
      <c r="D277" t="str">
        <f>"INT TEMP CONTRIBUICAO"</f>
        <v>INT TEMP CONTRIBUICAO</v>
      </c>
      <c r="E277" t="str">
        <f t="shared" si="25"/>
        <v>Efetivo-Inativo I- RJUSM</v>
      </c>
      <c r="F277" t="str">
        <f>"R$ 1.100,00"</f>
        <v>R$ 1.100,00</v>
      </c>
      <c r="G277" t="str">
        <f>"R$ 1.430,00"</f>
        <v>R$ 1.430,00</v>
      </c>
      <c r="H277" t="str">
        <f t="shared" si="24"/>
        <v>R$ 0,00</v>
      </c>
      <c r="I277" t="str">
        <f>"R$ 1.430,00"</f>
        <v>R$ 1.430,00</v>
      </c>
      <c r="J277" t="str">
        <f>"R$ 496,91"</f>
        <v>R$ 496,91</v>
      </c>
      <c r="K277" t="str">
        <f>"R$ 933,09"</f>
        <v>R$ 933,09</v>
      </c>
    </row>
    <row r="278" spans="1:11" x14ac:dyDescent="0.25">
      <c r="A278" t="str">
        <f>"00303232 / 1"</f>
        <v>00303232 / 1</v>
      </c>
      <c r="B278" t="str">
        <f>"13° Salário Anual"</f>
        <v>13° Salário Anual</v>
      </c>
      <c r="C278" t="str">
        <f>"Celina Cardoso Coelho"</f>
        <v>Celina Cardoso Coelho</v>
      </c>
      <c r="D278" t="str">
        <f>"INATIVO"</f>
        <v>INATIVO</v>
      </c>
      <c r="E278" t="str">
        <f t="shared" si="25"/>
        <v>Efetivo-Inativo I- RJUSM</v>
      </c>
      <c r="F278" t="str">
        <f>"R$ 1.100,00"</f>
        <v>R$ 1.100,00</v>
      </c>
      <c r="G278" t="str">
        <f>"R$ 1.430,00"</f>
        <v>R$ 1.430,00</v>
      </c>
      <c r="H278" t="str">
        <f t="shared" si="24"/>
        <v>R$ 0,00</v>
      </c>
      <c r="I278" t="str">
        <f>"R$ 1.430,00"</f>
        <v>R$ 1.430,00</v>
      </c>
      <c r="J278" t="str">
        <f>"R$ 715,00"</f>
        <v>R$ 715,00</v>
      </c>
      <c r="K278" t="str">
        <f>"R$ 715,00"</f>
        <v>R$ 715,00</v>
      </c>
    </row>
    <row r="279" spans="1:11" x14ac:dyDescent="0.25">
      <c r="A279" t="str">
        <f>"00303232 / 1"</f>
        <v>00303232 / 1</v>
      </c>
      <c r="B279" t="str">
        <f>"Folha Mensal"</f>
        <v>Folha Mensal</v>
      </c>
      <c r="C279" t="str">
        <f>"Celina Cardoso Coelho"</f>
        <v>Celina Cardoso Coelho</v>
      </c>
      <c r="D279" t="str">
        <f>"INATIVO"</f>
        <v>INATIVO</v>
      </c>
      <c r="E279" t="str">
        <f t="shared" si="25"/>
        <v>Efetivo-Inativo I- RJUSM</v>
      </c>
      <c r="F279" t="str">
        <f>"R$ 1.100,00"</f>
        <v>R$ 1.100,00</v>
      </c>
      <c r="G279" t="str">
        <f>"R$ 1.430,00"</f>
        <v>R$ 1.430,00</v>
      </c>
      <c r="H279" t="str">
        <f t="shared" si="24"/>
        <v>R$ 0,00</v>
      </c>
      <c r="I279" t="str">
        <f>"R$ 1.430,00"</f>
        <v>R$ 1.430,00</v>
      </c>
      <c r="J279" t="str">
        <f>"R$ 0,00"</f>
        <v>R$ 0,00</v>
      </c>
      <c r="K279" t="str">
        <f>"R$ 1.430,00"</f>
        <v>R$ 1.430,00</v>
      </c>
    </row>
    <row r="280" spans="1:11" x14ac:dyDescent="0.25">
      <c r="A280" t="str">
        <f>"00002844 / 1"</f>
        <v>00002844 / 1</v>
      </c>
      <c r="B280" t="str">
        <f>"13° Salário Anual"</f>
        <v>13° Salário Anual</v>
      </c>
      <c r="C280" t="str">
        <f>"Celina Lobo da Conceicao"</f>
        <v>Celina Lobo da Conceicao</v>
      </c>
      <c r="D280" t="str">
        <f>"PROFESSOR NIVEL I"</f>
        <v>PROFESSOR NIVEL I</v>
      </c>
      <c r="E280" t="str">
        <f t="shared" si="25"/>
        <v>Efetivo-Inativo I- RJUSM</v>
      </c>
      <c r="F280" t="str">
        <f>"R$ 5.736,46"</f>
        <v>R$ 5.736,46</v>
      </c>
      <c r="G280" t="str">
        <f>"R$ 7.457,39"</f>
        <v>R$ 7.457,39</v>
      </c>
      <c r="H280" t="str">
        <f t="shared" si="24"/>
        <v>R$ 0,00</v>
      </c>
      <c r="I280" t="str">
        <f>"R$ 7.457,39"</f>
        <v>R$ 7.457,39</v>
      </c>
      <c r="J280" t="str">
        <f>"R$ 4.524,18"</f>
        <v>R$ 4.524,18</v>
      </c>
      <c r="K280" t="str">
        <f>"R$ 2.933,21"</f>
        <v>R$ 2.933,21</v>
      </c>
    </row>
    <row r="281" spans="1:11" x14ac:dyDescent="0.25">
      <c r="A281" t="str">
        <f>"00002844 / 1"</f>
        <v>00002844 / 1</v>
      </c>
      <c r="B281" t="str">
        <f>"Folha Mensal"</f>
        <v>Folha Mensal</v>
      </c>
      <c r="C281" t="str">
        <f>"Celina Lobo da Conceicao"</f>
        <v>Celina Lobo da Conceicao</v>
      </c>
      <c r="D281" t="str">
        <f>"PROFESSOR NIVEL I"</f>
        <v>PROFESSOR NIVEL I</v>
      </c>
      <c r="E281" t="str">
        <f t="shared" si="25"/>
        <v>Efetivo-Inativo I- RJUSM</v>
      </c>
      <c r="F281" t="str">
        <f>"R$ 5.736,46"</f>
        <v>R$ 5.736,46</v>
      </c>
      <c r="G281" t="str">
        <f>"R$ 7.457,39"</f>
        <v>R$ 7.457,39</v>
      </c>
      <c r="H281" t="str">
        <f t="shared" si="24"/>
        <v>R$ 0,00</v>
      </c>
      <c r="I281" t="str">
        <f>"R$ 7.457,39"</f>
        <v>R$ 7.457,39</v>
      </c>
      <c r="J281" t="str">
        <f>"R$ 2.778,22"</f>
        <v>R$ 2.778,22</v>
      </c>
      <c r="K281" t="str">
        <f>"R$ 4.679,17"</f>
        <v>R$ 4.679,17</v>
      </c>
    </row>
    <row r="282" spans="1:11" x14ac:dyDescent="0.25">
      <c r="A282" t="str">
        <f>"00018937 / 1"</f>
        <v>00018937 / 1</v>
      </c>
      <c r="B282" t="str">
        <f>"13° Salário Anual"</f>
        <v>13° Salário Anual</v>
      </c>
      <c r="C282" t="str">
        <f>"Cicero Mendes de Sousa"</f>
        <v>Cicero Mendes de Sousa</v>
      </c>
      <c r="D282" t="str">
        <f>"PROP COMPULSORIA"</f>
        <v>PROP COMPULSORIA</v>
      </c>
      <c r="E282" t="str">
        <f t="shared" si="25"/>
        <v>Efetivo-Inativo I- RJUSM</v>
      </c>
      <c r="F282" t="str">
        <f>"R$ 1.100,00"</f>
        <v>R$ 1.100,00</v>
      </c>
      <c r="G282" t="str">
        <f>"R$ 1.100,00"</f>
        <v>R$ 1.100,00</v>
      </c>
      <c r="H282" t="str">
        <f t="shared" si="24"/>
        <v>R$ 0,00</v>
      </c>
      <c r="I282" t="str">
        <f>"R$ 1.100,00"</f>
        <v>R$ 1.100,00</v>
      </c>
      <c r="J282" t="str">
        <f>"R$ 550,00"</f>
        <v>R$ 550,00</v>
      </c>
      <c r="K282" t="str">
        <f>"R$ 550,00"</f>
        <v>R$ 550,00</v>
      </c>
    </row>
    <row r="283" spans="1:11" x14ac:dyDescent="0.25">
      <c r="A283" t="str">
        <f>"00018937 / 1"</f>
        <v>00018937 / 1</v>
      </c>
      <c r="B283" t="str">
        <f>"Folha Mensal"</f>
        <v>Folha Mensal</v>
      </c>
      <c r="C283" t="str">
        <f>"Cicero Mendes de Sousa"</f>
        <v>Cicero Mendes de Sousa</v>
      </c>
      <c r="D283" t="str">
        <f>"PROP COMPULSORIA"</f>
        <v>PROP COMPULSORIA</v>
      </c>
      <c r="E283" t="str">
        <f t="shared" si="25"/>
        <v>Efetivo-Inativo I- RJUSM</v>
      </c>
      <c r="F283" t="str">
        <f>"R$ 1.100,00"</f>
        <v>R$ 1.100,00</v>
      </c>
      <c r="G283" t="str">
        <f>"R$ 1.100,00"</f>
        <v>R$ 1.100,00</v>
      </c>
      <c r="H283" t="str">
        <f t="shared" si="24"/>
        <v>R$ 0,00</v>
      </c>
      <c r="I283" t="str">
        <f>"R$ 1.100,00"</f>
        <v>R$ 1.100,00</v>
      </c>
      <c r="J283" t="str">
        <f>"R$ 0,00"</f>
        <v>R$ 0,00</v>
      </c>
      <c r="K283" t="str">
        <f>"R$ 1.100,00"</f>
        <v>R$ 1.100,00</v>
      </c>
    </row>
    <row r="284" spans="1:11" x14ac:dyDescent="0.25">
      <c r="A284" t="str">
        <f>"00014150 / 1"</f>
        <v>00014150 / 1</v>
      </c>
      <c r="B284" t="str">
        <f>"13° Salário Anual"</f>
        <v>13° Salário Anual</v>
      </c>
      <c r="C284" t="str">
        <f>"Cirene Silva de Oliveira"</f>
        <v>Cirene Silva de Oliveira</v>
      </c>
      <c r="D284" t="str">
        <f>"PROFESSOR"</f>
        <v>PROFESSOR</v>
      </c>
      <c r="E284" t="str">
        <f t="shared" si="25"/>
        <v>Efetivo-Inativo I- RJUSM</v>
      </c>
      <c r="F284" t="str">
        <f>"R$ 3.186,94"</f>
        <v>R$ 3.186,94</v>
      </c>
      <c r="G284" t="str">
        <f>"R$ 3.983,67"</f>
        <v>R$ 3.983,67</v>
      </c>
      <c r="H284" t="str">
        <f t="shared" si="24"/>
        <v>R$ 0,00</v>
      </c>
      <c r="I284" t="str">
        <f>"R$ 3.983,67"</f>
        <v>R$ 3.983,67</v>
      </c>
      <c r="J284" t="str">
        <f>"R$ 1.991,83"</f>
        <v>R$ 1.991,83</v>
      </c>
      <c r="K284" t="str">
        <f>"R$ 1.991,84"</f>
        <v>R$ 1.991,84</v>
      </c>
    </row>
    <row r="285" spans="1:11" x14ac:dyDescent="0.25">
      <c r="A285" t="str">
        <f>"00014150 / 1"</f>
        <v>00014150 / 1</v>
      </c>
      <c r="B285" t="str">
        <f>"Folha Mensal"</f>
        <v>Folha Mensal</v>
      </c>
      <c r="C285" t="str">
        <f>"Cirene Silva de Oliveira"</f>
        <v>Cirene Silva de Oliveira</v>
      </c>
      <c r="D285" t="str">
        <f>"PROFESSOR"</f>
        <v>PROFESSOR</v>
      </c>
      <c r="E285" t="str">
        <f t="shared" si="25"/>
        <v>Efetivo-Inativo I- RJUSM</v>
      </c>
      <c r="F285" t="str">
        <f>"R$ 3.186,94"</f>
        <v>R$ 3.186,94</v>
      </c>
      <c r="G285" t="str">
        <f>"R$ 3.983,67"</f>
        <v>R$ 3.983,67</v>
      </c>
      <c r="H285" t="str">
        <f t="shared" si="24"/>
        <v>R$ 0,00</v>
      </c>
      <c r="I285" t="str">
        <f>"R$ 3.983,67"</f>
        <v>R$ 3.983,67</v>
      </c>
      <c r="J285" t="str">
        <f>"R$ 1.111,51"</f>
        <v>R$ 1.111,51</v>
      </c>
      <c r="K285" t="str">
        <f>"R$ 2.872,16"</f>
        <v>R$ 2.872,16</v>
      </c>
    </row>
    <row r="286" spans="1:11" x14ac:dyDescent="0.25">
      <c r="A286" t="str">
        <f>"00007358 / 1"</f>
        <v>00007358 / 1</v>
      </c>
      <c r="B286" t="str">
        <f>"13° Salário Anual"</f>
        <v>13° Salário Anual</v>
      </c>
      <c r="C286" t="str">
        <f>"Ciria Honorato Monteiro"</f>
        <v>Ciria Honorato Monteiro</v>
      </c>
      <c r="D286" t="str">
        <f>"PROP IDADE"</f>
        <v>PROP IDADE</v>
      </c>
      <c r="E286" t="str">
        <f t="shared" si="25"/>
        <v>Efetivo-Inativo I- RJUSM</v>
      </c>
      <c r="F286" t="str">
        <f>"R$ 1.100,00"</f>
        <v>R$ 1.100,00</v>
      </c>
      <c r="G286" t="str">
        <f>"R$ 1.100,00"</f>
        <v>R$ 1.100,00</v>
      </c>
      <c r="H286" t="str">
        <f t="shared" si="24"/>
        <v>R$ 0,00</v>
      </c>
      <c r="I286" t="str">
        <f>"R$ 1.100,00"</f>
        <v>R$ 1.100,00</v>
      </c>
      <c r="J286" t="str">
        <f>"R$ 550,00"</f>
        <v>R$ 550,00</v>
      </c>
      <c r="K286" t="str">
        <f>"R$ 550,00"</f>
        <v>R$ 550,00</v>
      </c>
    </row>
    <row r="287" spans="1:11" x14ac:dyDescent="0.25">
      <c r="A287" t="str">
        <f>"00007358 / 1"</f>
        <v>00007358 / 1</v>
      </c>
      <c r="B287" t="str">
        <f>"Folha Mensal"</f>
        <v>Folha Mensal</v>
      </c>
      <c r="C287" t="str">
        <f>"Ciria Honorato Monteiro"</f>
        <v>Ciria Honorato Monteiro</v>
      </c>
      <c r="D287" t="str">
        <f>"PROP IDADE"</f>
        <v>PROP IDADE</v>
      </c>
      <c r="E287" t="str">
        <f t="shared" si="25"/>
        <v>Efetivo-Inativo I- RJUSM</v>
      </c>
      <c r="F287" t="str">
        <f>"R$ 1.100,00"</f>
        <v>R$ 1.100,00</v>
      </c>
      <c r="G287" t="str">
        <f>"R$ 1.100,00"</f>
        <v>R$ 1.100,00</v>
      </c>
      <c r="H287" t="str">
        <f t="shared" si="24"/>
        <v>R$ 0,00</v>
      </c>
      <c r="I287" t="str">
        <f>"R$ 1.100,00"</f>
        <v>R$ 1.100,00</v>
      </c>
      <c r="J287" t="str">
        <f>"R$ 0,00"</f>
        <v>R$ 0,00</v>
      </c>
      <c r="K287" t="str">
        <f>"R$ 1.100,00"</f>
        <v>R$ 1.100,00</v>
      </c>
    </row>
    <row r="288" spans="1:11" x14ac:dyDescent="0.25">
      <c r="A288" t="str">
        <f>"03641538 / 1"</f>
        <v>03641538 / 1</v>
      </c>
      <c r="B288" t="str">
        <f>"13° Salário Anual"</f>
        <v>13° Salário Anual</v>
      </c>
      <c r="C288" t="str">
        <f>"Ciro Dylan de Jesus Melo"</f>
        <v>Ciro Dylan de Jesus Melo</v>
      </c>
      <c r="D288" t="str">
        <f>"PENS TEMP ATE 17/05/22"</f>
        <v>PENS TEMP ATE 17/05/22</v>
      </c>
      <c r="E288" t="str">
        <f>"Pensionista"</f>
        <v>Pensionista</v>
      </c>
      <c r="F288" t="str">
        <f>"R$ 1.080,99"</f>
        <v>R$ 1.080,99</v>
      </c>
      <c r="G288" t="str">
        <f>"R$ 1.135,03"</f>
        <v>R$ 1.135,03</v>
      </c>
      <c r="H288" t="str">
        <f t="shared" si="24"/>
        <v>R$ 0,00</v>
      </c>
      <c r="I288" t="str">
        <f>"R$ 1.135,03"</f>
        <v>R$ 1.135,03</v>
      </c>
      <c r="J288" t="str">
        <f>"R$ 567,51"</f>
        <v>R$ 567,51</v>
      </c>
      <c r="K288" t="str">
        <f>"R$ 567,52"</f>
        <v>R$ 567,52</v>
      </c>
    </row>
    <row r="289" spans="1:11" x14ac:dyDescent="0.25">
      <c r="A289" t="str">
        <f>"03641538 / 1"</f>
        <v>03641538 / 1</v>
      </c>
      <c r="B289" t="str">
        <f>"Folha Mensal"</f>
        <v>Folha Mensal</v>
      </c>
      <c r="C289" t="str">
        <f>"Ciro Dylan de Jesus Melo"</f>
        <v>Ciro Dylan de Jesus Melo</v>
      </c>
      <c r="D289" t="str">
        <f>"PENS TEMP ATE 17/05/22"</f>
        <v>PENS TEMP ATE 17/05/22</v>
      </c>
      <c r="E289" t="str">
        <f>"Pensionista"</f>
        <v>Pensionista</v>
      </c>
      <c r="F289" t="str">
        <f>"R$ 1.080,99"</f>
        <v>R$ 1.080,99</v>
      </c>
      <c r="G289" t="str">
        <f>"R$ 1.135,03"</f>
        <v>R$ 1.135,03</v>
      </c>
      <c r="H289" t="str">
        <f t="shared" si="24"/>
        <v>R$ 0,00</v>
      </c>
      <c r="I289" t="str">
        <f>"R$ 1.135,03"</f>
        <v>R$ 1.135,03</v>
      </c>
      <c r="J289" t="str">
        <f>"R$ 0,00"</f>
        <v>R$ 0,00</v>
      </c>
      <c r="K289" t="str">
        <f>"R$ 1.135,03"</f>
        <v>R$ 1.135,03</v>
      </c>
    </row>
    <row r="290" spans="1:11" x14ac:dyDescent="0.25">
      <c r="A290" t="str">
        <f>"00034932 / 1"</f>
        <v>00034932 / 1</v>
      </c>
      <c r="B290" t="str">
        <f>"13° Salário Anual"</f>
        <v>13° Salário Anual</v>
      </c>
      <c r="C290" t="str">
        <f>"Claucilene Souto da Rocha"</f>
        <v>Claucilene Souto da Rocha</v>
      </c>
      <c r="D290" t="str">
        <f>"DAS 05"</f>
        <v>DAS 05</v>
      </c>
      <c r="E290" t="str">
        <f>"Comissionado"</f>
        <v>Comissionado</v>
      </c>
      <c r="F290" t="str">
        <f>"R$ 2.025,00"</f>
        <v>R$ 2.025,00</v>
      </c>
      <c r="G290" t="str">
        <f>"R$ 2.025,00"</f>
        <v>R$ 2.025,00</v>
      </c>
      <c r="H290" t="str">
        <f t="shared" si="24"/>
        <v>R$ 0,00</v>
      </c>
      <c r="I290" t="str">
        <f>"R$ 2.025,00"</f>
        <v>R$ 2.025,00</v>
      </c>
      <c r="J290" t="str">
        <f>"R$ 1.178,25"</f>
        <v>R$ 1.178,25</v>
      </c>
      <c r="K290" t="str">
        <f>"R$ 846,75"</f>
        <v>R$ 846,75</v>
      </c>
    </row>
    <row r="291" spans="1:11" x14ac:dyDescent="0.25">
      <c r="A291" t="str">
        <f>"00034932 / 1"</f>
        <v>00034932 / 1</v>
      </c>
      <c r="B291" t="str">
        <f>"Folha Mensal"</f>
        <v>Folha Mensal</v>
      </c>
      <c r="C291" t="str">
        <f>"Claucilene Souto da Rocha"</f>
        <v>Claucilene Souto da Rocha</v>
      </c>
      <c r="D291" t="str">
        <f>"DAS 05"</f>
        <v>DAS 05</v>
      </c>
      <c r="E291" t="str">
        <f>"Comissionado"</f>
        <v>Comissionado</v>
      </c>
      <c r="F291" t="str">
        <f>"R$ 2.025,00"</f>
        <v>R$ 2.025,00</v>
      </c>
      <c r="G291" t="str">
        <f>"R$ 2.025,00"</f>
        <v>R$ 2.025,00</v>
      </c>
      <c r="H291" t="str">
        <f>"R$ 288,00"</f>
        <v>R$ 288,00</v>
      </c>
      <c r="I291" t="str">
        <f>"R$ 2.313,00"</f>
        <v>R$ 2.313,00</v>
      </c>
      <c r="J291" t="str">
        <f>"R$ 287,25"</f>
        <v>R$ 287,25</v>
      </c>
      <c r="K291" t="str">
        <f>"R$ 2.025,75"</f>
        <v>R$ 2.025,75</v>
      </c>
    </row>
    <row r="292" spans="1:11" x14ac:dyDescent="0.25">
      <c r="A292" t="str">
        <f>"00173533 / 2"</f>
        <v>00173533 / 2</v>
      </c>
      <c r="B292" t="str">
        <f>"13° Salário Anual"</f>
        <v>13° Salário Anual</v>
      </c>
      <c r="C292" t="str">
        <f>"Claudia do Socorro Almeida Sartori"</f>
        <v>Claudia do Socorro Almeida Sartori</v>
      </c>
      <c r="D292" t="str">
        <f>"PROFESSOR NIVEL II"</f>
        <v>PROFESSOR NIVEL II</v>
      </c>
      <c r="E292" t="str">
        <f>"Efetivo-Inativos II-RJUSM"</f>
        <v>Efetivo-Inativos II-RJUSM</v>
      </c>
      <c r="F292" t="str">
        <f>"R$ 4.621,04"</f>
        <v>R$ 4.621,04</v>
      </c>
      <c r="G292" t="str">
        <f>"R$ 5.083,14"</f>
        <v>R$ 5.083,14</v>
      </c>
      <c r="H292" t="str">
        <f t="shared" ref="H292:H323" si="26">"R$ 0,00"</f>
        <v>R$ 0,00</v>
      </c>
      <c r="I292" t="str">
        <f>"R$ 5.083,14"</f>
        <v>R$ 5.083,14</v>
      </c>
      <c r="J292" t="str">
        <f>"R$ 2.541,57"</f>
        <v>R$ 2.541,57</v>
      </c>
      <c r="K292" t="str">
        <f>"R$ 2.541,57"</f>
        <v>R$ 2.541,57</v>
      </c>
    </row>
    <row r="293" spans="1:11" x14ac:dyDescent="0.25">
      <c r="A293" t="str">
        <f>"00173533 / 2"</f>
        <v>00173533 / 2</v>
      </c>
      <c r="B293" t="str">
        <f>"Folha Mensal"</f>
        <v>Folha Mensal</v>
      </c>
      <c r="C293" t="str">
        <f>"Claudia do Socorro Almeida Sartori"</f>
        <v>Claudia do Socorro Almeida Sartori</v>
      </c>
      <c r="D293" t="str">
        <f>"PROFESSOR NIVEL II"</f>
        <v>PROFESSOR NIVEL II</v>
      </c>
      <c r="E293" t="str">
        <f>"Efetivo-Inativos II-RJUSM"</f>
        <v>Efetivo-Inativos II-RJUSM</v>
      </c>
      <c r="F293" t="str">
        <f>"R$ 4.621,04"</f>
        <v>R$ 4.621,04</v>
      </c>
      <c r="G293" t="str">
        <f>"R$ 5.083,14"</f>
        <v>R$ 5.083,14</v>
      </c>
      <c r="H293" t="str">
        <f t="shared" si="26"/>
        <v>R$ 0,00</v>
      </c>
      <c r="I293" t="str">
        <f>"R$ 5.083,14"</f>
        <v>R$ 5.083,14</v>
      </c>
      <c r="J293" t="str">
        <f>"R$ 2.063,57"</f>
        <v>R$ 2.063,57</v>
      </c>
      <c r="K293" t="str">
        <f>"R$ 3.019,57"</f>
        <v>R$ 3.019,57</v>
      </c>
    </row>
    <row r="294" spans="1:11" x14ac:dyDescent="0.25">
      <c r="A294" t="str">
        <f>"00406287 / 1"</f>
        <v>00406287 / 1</v>
      </c>
      <c r="B294" t="str">
        <f>"13° Salário Anual"</f>
        <v>13° Salário Anual</v>
      </c>
      <c r="C294" t="str">
        <f>"Claudia Maria Regis Vargas Nascimento"</f>
        <v>Claudia Maria Regis Vargas Nascimento</v>
      </c>
      <c r="D294" t="str">
        <f>"PENSIONISTA"</f>
        <v>PENSIONISTA</v>
      </c>
      <c r="E294" t="str">
        <f>"Pensionista"</f>
        <v>Pensionista</v>
      </c>
      <c r="F294" t="str">
        <f>"R$ 4.962,24"</f>
        <v>R$ 4.962,24</v>
      </c>
      <c r="G294" t="str">
        <f>"R$ 4.962,24"</f>
        <v>R$ 4.962,24</v>
      </c>
      <c r="H294" t="str">
        <f t="shared" si="26"/>
        <v>R$ 0,00</v>
      </c>
      <c r="I294" t="str">
        <f>"R$ 4.962,24"</f>
        <v>R$ 4.962,24</v>
      </c>
      <c r="J294" t="str">
        <f>"R$ 2.976,37"</f>
        <v>R$ 2.976,37</v>
      </c>
      <c r="K294" t="str">
        <f>"R$ 1.985,87"</f>
        <v>R$ 1.985,87</v>
      </c>
    </row>
    <row r="295" spans="1:11" x14ac:dyDescent="0.25">
      <c r="A295" t="str">
        <f>"00406287 / 1"</f>
        <v>00406287 / 1</v>
      </c>
      <c r="B295" t="str">
        <f>"Folha Mensal"</f>
        <v>Folha Mensal</v>
      </c>
      <c r="C295" t="str">
        <f>"Claudia Maria Regis Vargas Nascimento"</f>
        <v>Claudia Maria Regis Vargas Nascimento</v>
      </c>
      <c r="D295" t="str">
        <f>"PENSIONISTA"</f>
        <v>PENSIONISTA</v>
      </c>
      <c r="E295" t="str">
        <f>"Pensionista"</f>
        <v>Pensionista</v>
      </c>
      <c r="F295" t="str">
        <f>"R$ 4.962,24"</f>
        <v>R$ 4.962,24</v>
      </c>
      <c r="G295" t="str">
        <f>"R$ 4.962,24"</f>
        <v>R$ 4.962,24</v>
      </c>
      <c r="H295" t="str">
        <f t="shared" si="26"/>
        <v>R$ 0,00</v>
      </c>
      <c r="I295" t="str">
        <f>"R$ 4.962,24"</f>
        <v>R$ 4.962,24</v>
      </c>
      <c r="J295" t="str">
        <f>"R$ 495,25"</f>
        <v>R$ 495,25</v>
      </c>
      <c r="K295" t="str">
        <f>"R$ 4.466,99"</f>
        <v>R$ 4.466,99</v>
      </c>
    </row>
    <row r="296" spans="1:11" x14ac:dyDescent="0.25">
      <c r="A296" t="str">
        <f>"00000140 / 1"</f>
        <v>00000140 / 1</v>
      </c>
      <c r="B296" t="str">
        <f>"13° Salário Anual"</f>
        <v>13° Salário Anual</v>
      </c>
      <c r="C296" t="str">
        <f>"Claudia Regina da Rocha Marques"</f>
        <v>Claudia Regina da Rocha Marques</v>
      </c>
      <c r="D296" t="str">
        <f>"PROFESSOR NIVEL III"</f>
        <v>PROFESSOR NIVEL III</v>
      </c>
      <c r="E296" t="str">
        <f>"Efetivo-Inativos II-RJUSM"</f>
        <v>Efetivo-Inativos II-RJUSM</v>
      </c>
      <c r="F296" t="str">
        <f>"R$ 4.541,37"</f>
        <v>R$ 4.541,37</v>
      </c>
      <c r="G296" t="str">
        <f>"R$ 5.903,78"</f>
        <v>R$ 5.903,78</v>
      </c>
      <c r="H296" t="str">
        <f t="shared" si="26"/>
        <v>R$ 0,00</v>
      </c>
      <c r="I296" t="str">
        <f>"R$ 5.903,78"</f>
        <v>R$ 5.903,78</v>
      </c>
      <c r="J296" t="str">
        <f>"R$ 3.653,93"</f>
        <v>R$ 3.653,93</v>
      </c>
      <c r="K296" t="str">
        <f>"R$ 2.249,85"</f>
        <v>R$ 2.249,85</v>
      </c>
    </row>
    <row r="297" spans="1:11" x14ac:dyDescent="0.25">
      <c r="A297" t="str">
        <f>"00000140 / 1"</f>
        <v>00000140 / 1</v>
      </c>
      <c r="B297" t="str">
        <f>"Folha Mensal"</f>
        <v>Folha Mensal</v>
      </c>
      <c r="C297" t="str">
        <f>"Claudia Regina da Rocha Marques"</f>
        <v>Claudia Regina da Rocha Marques</v>
      </c>
      <c r="D297" t="str">
        <f>"PROFESSOR NIVEL III"</f>
        <v>PROFESSOR NIVEL III</v>
      </c>
      <c r="E297" t="str">
        <f>"Efetivo-Inativos II-RJUSM"</f>
        <v>Efetivo-Inativos II-RJUSM</v>
      </c>
      <c r="F297" t="str">
        <f>"R$ 4.541,37"</f>
        <v>R$ 4.541,37</v>
      </c>
      <c r="G297" t="str">
        <f>"R$ 5.903,78"</f>
        <v>R$ 5.903,78</v>
      </c>
      <c r="H297" t="str">
        <f t="shared" si="26"/>
        <v>R$ 0,00</v>
      </c>
      <c r="I297" t="str">
        <f>"R$ 5.903,78"</f>
        <v>R$ 5.903,78</v>
      </c>
      <c r="J297" t="str">
        <f>"R$ 2.260,92"</f>
        <v>R$ 2.260,92</v>
      </c>
      <c r="K297" t="str">
        <f>"R$ 3.642,86"</f>
        <v>R$ 3.642,86</v>
      </c>
    </row>
    <row r="298" spans="1:11" x14ac:dyDescent="0.25">
      <c r="A298" t="str">
        <f>"03643034 / 1"</f>
        <v>03643034 / 1</v>
      </c>
      <c r="B298" t="str">
        <f>"13° Salário Anual"</f>
        <v>13° Salário Anual</v>
      </c>
      <c r="C298" t="str">
        <f>"Claudomira do Carmo Peres"</f>
        <v>Claudomira do Carmo Peres</v>
      </c>
      <c r="D298" t="str">
        <f>"INATIVO"</f>
        <v>INATIVO</v>
      </c>
      <c r="E298" t="str">
        <f t="shared" ref="E298:E305" si="27">"Efetivo-Inativo I- RJUSM"</f>
        <v>Efetivo-Inativo I- RJUSM</v>
      </c>
      <c r="F298" t="str">
        <f>"R$ 1.100,00"</f>
        <v>R$ 1.100,00</v>
      </c>
      <c r="G298" t="str">
        <f>"R$ 1.210,00"</f>
        <v>R$ 1.210,00</v>
      </c>
      <c r="H298" t="str">
        <f t="shared" si="26"/>
        <v>R$ 0,00</v>
      </c>
      <c r="I298" t="str">
        <f>"R$ 1.210,00"</f>
        <v>R$ 1.210,00</v>
      </c>
      <c r="J298" t="str">
        <f>"R$ 605,00"</f>
        <v>R$ 605,00</v>
      </c>
      <c r="K298" t="str">
        <f>"R$ 605,00"</f>
        <v>R$ 605,00</v>
      </c>
    </row>
    <row r="299" spans="1:11" x14ac:dyDescent="0.25">
      <c r="A299" t="str">
        <f>"03643034 / 1"</f>
        <v>03643034 / 1</v>
      </c>
      <c r="B299" t="str">
        <f>"Folha Mensal"</f>
        <v>Folha Mensal</v>
      </c>
      <c r="C299" t="str">
        <f>"Claudomira do Carmo Peres"</f>
        <v>Claudomira do Carmo Peres</v>
      </c>
      <c r="D299" t="str">
        <f>"INATIVO"</f>
        <v>INATIVO</v>
      </c>
      <c r="E299" t="str">
        <f t="shared" si="27"/>
        <v>Efetivo-Inativo I- RJUSM</v>
      </c>
      <c r="F299" t="str">
        <f>"R$ 1.100,00"</f>
        <v>R$ 1.100,00</v>
      </c>
      <c r="G299" t="str">
        <f>"R$ 1.210,00"</f>
        <v>R$ 1.210,00</v>
      </c>
      <c r="H299" t="str">
        <f t="shared" si="26"/>
        <v>R$ 0,00</v>
      </c>
      <c r="I299" t="str">
        <f>"R$ 1.210,00"</f>
        <v>R$ 1.210,00</v>
      </c>
      <c r="J299" t="str">
        <f>"R$ 0,00"</f>
        <v>R$ 0,00</v>
      </c>
      <c r="K299" t="str">
        <f>"R$ 1.210,00"</f>
        <v>R$ 1.210,00</v>
      </c>
    </row>
    <row r="300" spans="1:11" x14ac:dyDescent="0.25">
      <c r="A300" t="str">
        <f>"00025240 / 2"</f>
        <v>00025240 / 2</v>
      </c>
      <c r="B300" t="str">
        <f>"13° Salário Anual"</f>
        <v>13° Salário Anual</v>
      </c>
      <c r="C300" t="str">
        <f>"Clea Nazare da Silva Pereira"</f>
        <v>Clea Nazare da Silva Pereira</v>
      </c>
      <c r="D300" t="str">
        <f>"PROFESSOR"</f>
        <v>PROFESSOR</v>
      </c>
      <c r="E300" t="str">
        <f t="shared" si="27"/>
        <v>Efetivo-Inativo I- RJUSM</v>
      </c>
      <c r="F300" t="str">
        <f>"R$ 1.593,46"</f>
        <v>R$ 1.593,46</v>
      </c>
      <c r="G300" t="str">
        <f>"R$ 1.991,82"</f>
        <v>R$ 1.991,82</v>
      </c>
      <c r="H300" t="str">
        <f t="shared" si="26"/>
        <v>R$ 0,00</v>
      </c>
      <c r="I300" t="str">
        <f>"R$ 1.991,82"</f>
        <v>R$ 1.991,82</v>
      </c>
      <c r="J300" t="str">
        <f>"R$ 995,91"</f>
        <v>R$ 995,91</v>
      </c>
      <c r="K300" t="str">
        <f>"R$ 995,91"</f>
        <v>R$ 995,91</v>
      </c>
    </row>
    <row r="301" spans="1:11" x14ac:dyDescent="0.25">
      <c r="A301" t="str">
        <f>"00025240 / 2"</f>
        <v>00025240 / 2</v>
      </c>
      <c r="B301" t="str">
        <f>"Folha Mensal"</f>
        <v>Folha Mensal</v>
      </c>
      <c r="C301" t="str">
        <f>"Clea Nazare da Silva Pereira"</f>
        <v>Clea Nazare da Silva Pereira</v>
      </c>
      <c r="D301" t="str">
        <f>"PROFESSOR"</f>
        <v>PROFESSOR</v>
      </c>
      <c r="E301" t="str">
        <f t="shared" si="27"/>
        <v>Efetivo-Inativo I- RJUSM</v>
      </c>
      <c r="F301" t="str">
        <f>"R$ 1.593,46"</f>
        <v>R$ 1.593,46</v>
      </c>
      <c r="G301" t="str">
        <f>"R$ 1.991,82"</f>
        <v>R$ 1.991,82</v>
      </c>
      <c r="H301" t="str">
        <f t="shared" si="26"/>
        <v>R$ 0,00</v>
      </c>
      <c r="I301" t="str">
        <f>"R$ 1.991,82"</f>
        <v>R$ 1.991,82</v>
      </c>
      <c r="J301" t="str">
        <f>"R$ 460,10"</f>
        <v>R$ 460,10</v>
      </c>
      <c r="K301" t="str">
        <f>"R$ 1.531,72"</f>
        <v>R$ 1.531,72</v>
      </c>
    </row>
    <row r="302" spans="1:11" x14ac:dyDescent="0.25">
      <c r="A302" t="str">
        <f>"00008435 / 1"</f>
        <v>00008435 / 1</v>
      </c>
      <c r="B302" t="str">
        <f>"13° Salário Anual"</f>
        <v>13° Salário Anual</v>
      </c>
      <c r="C302" t="str">
        <f>"Clea Torres de Souza Barata"</f>
        <v>Clea Torres de Souza Barata</v>
      </c>
      <c r="D302" t="str">
        <f>"PROP IDADE"</f>
        <v>PROP IDADE</v>
      </c>
      <c r="E302" t="str">
        <f t="shared" si="27"/>
        <v>Efetivo-Inativo I- RJUSM</v>
      </c>
      <c r="F302" t="str">
        <f>"R$ 891,30"</f>
        <v>R$ 891,30</v>
      </c>
      <c r="G302" t="str">
        <f>"R$ 1.100,00"</f>
        <v>R$ 1.100,00</v>
      </c>
      <c r="H302" t="str">
        <f t="shared" si="26"/>
        <v>R$ 0,00</v>
      </c>
      <c r="I302" t="str">
        <f>"R$ 1.100,00"</f>
        <v>R$ 1.100,00</v>
      </c>
      <c r="J302" t="str">
        <f>"R$ 550,00"</f>
        <v>R$ 550,00</v>
      </c>
      <c r="K302" t="str">
        <f>"R$ 550,00"</f>
        <v>R$ 550,00</v>
      </c>
    </row>
    <row r="303" spans="1:11" x14ac:dyDescent="0.25">
      <c r="A303" t="str">
        <f>"00008435 / 1"</f>
        <v>00008435 / 1</v>
      </c>
      <c r="B303" t="str">
        <f>"Folha Mensal"</f>
        <v>Folha Mensal</v>
      </c>
      <c r="C303" t="str">
        <f>"Clea Torres de Souza Barata"</f>
        <v>Clea Torres de Souza Barata</v>
      </c>
      <c r="D303" t="str">
        <f>"PROP IDADE"</f>
        <v>PROP IDADE</v>
      </c>
      <c r="E303" t="str">
        <f t="shared" si="27"/>
        <v>Efetivo-Inativo I- RJUSM</v>
      </c>
      <c r="F303" t="str">
        <f>"R$ 891,30"</f>
        <v>R$ 891,30</v>
      </c>
      <c r="G303" t="str">
        <f>"R$ 1.100,00"</f>
        <v>R$ 1.100,00</v>
      </c>
      <c r="H303" t="str">
        <f t="shared" si="26"/>
        <v>R$ 0,00</v>
      </c>
      <c r="I303" t="str">
        <f>"R$ 1.100,00"</f>
        <v>R$ 1.100,00</v>
      </c>
      <c r="J303" t="str">
        <f>"R$ 0,00"</f>
        <v>R$ 0,00</v>
      </c>
      <c r="K303" t="str">
        <f>"R$ 1.100,00"</f>
        <v>R$ 1.100,00</v>
      </c>
    </row>
    <row r="304" spans="1:11" x14ac:dyDescent="0.25">
      <c r="A304" t="str">
        <f>"00051284 / 1"</f>
        <v>00051284 / 1</v>
      </c>
      <c r="B304" t="str">
        <f>"13° Salário Anual"</f>
        <v>13° Salário Anual</v>
      </c>
      <c r="C304" t="str">
        <f>"Cleide Maria de Souza Vilhena"</f>
        <v>Cleide Maria de Souza Vilhena</v>
      </c>
      <c r="D304" t="str">
        <f>"PROFESSOR"</f>
        <v>PROFESSOR</v>
      </c>
      <c r="E304" t="str">
        <f t="shared" si="27"/>
        <v>Efetivo-Inativo I- RJUSM</v>
      </c>
      <c r="F304" t="str">
        <f>"R$ 1.593,46"</f>
        <v>R$ 1.593,46</v>
      </c>
      <c r="G304" t="str">
        <f>"R$ 1.991,82"</f>
        <v>R$ 1.991,82</v>
      </c>
      <c r="H304" t="str">
        <f t="shared" si="26"/>
        <v>R$ 0,00</v>
      </c>
      <c r="I304" t="str">
        <f>"R$ 1.991,82"</f>
        <v>R$ 1.991,82</v>
      </c>
      <c r="J304" t="str">
        <f>"R$ 995,91"</f>
        <v>R$ 995,91</v>
      </c>
      <c r="K304" t="str">
        <f>"R$ 995,91"</f>
        <v>R$ 995,91</v>
      </c>
    </row>
    <row r="305" spans="1:11" x14ac:dyDescent="0.25">
      <c r="A305" t="str">
        <f>"00051284 / 1"</f>
        <v>00051284 / 1</v>
      </c>
      <c r="B305" t="str">
        <f>"Folha Mensal"</f>
        <v>Folha Mensal</v>
      </c>
      <c r="C305" t="str">
        <f>"Cleide Maria de Souza Vilhena"</f>
        <v>Cleide Maria de Souza Vilhena</v>
      </c>
      <c r="D305" t="str">
        <f>"PROFESSOR"</f>
        <v>PROFESSOR</v>
      </c>
      <c r="E305" t="str">
        <f t="shared" si="27"/>
        <v>Efetivo-Inativo I- RJUSM</v>
      </c>
      <c r="F305" t="str">
        <f>"R$ 1.593,46"</f>
        <v>R$ 1.593,46</v>
      </c>
      <c r="G305" t="str">
        <f>"R$ 1.991,82"</f>
        <v>R$ 1.991,82</v>
      </c>
      <c r="H305" t="str">
        <f t="shared" si="26"/>
        <v>R$ 0,00</v>
      </c>
      <c r="I305" t="str">
        <f>"R$ 1.991,82"</f>
        <v>R$ 1.991,82</v>
      </c>
      <c r="J305" t="str">
        <f>"R$ 0,00"</f>
        <v>R$ 0,00</v>
      </c>
      <c r="K305" t="str">
        <f>"R$ 1.991,82"</f>
        <v>R$ 1.991,82</v>
      </c>
    </row>
    <row r="306" spans="1:11" x14ac:dyDescent="0.25">
      <c r="A306" t="str">
        <f>"00008753 / 2"</f>
        <v>00008753 / 2</v>
      </c>
      <c r="B306" t="str">
        <f>"13° Salário Anual"</f>
        <v>13° Salário Anual</v>
      </c>
      <c r="C306" t="str">
        <f>"Clemilda Piquet Lopes"</f>
        <v>Clemilda Piquet Lopes</v>
      </c>
      <c r="D306" t="str">
        <f>"PROFESSOR NIVEL III"</f>
        <v>PROFESSOR NIVEL III</v>
      </c>
      <c r="E306" t="str">
        <f>"Efetivo-Inativos II-RJUSM"</f>
        <v>Efetivo-Inativos II-RJUSM</v>
      </c>
      <c r="F306" t="str">
        <f>"R$ 4.421,88"</f>
        <v>R$ 4.421,88</v>
      </c>
      <c r="G306" t="str">
        <f>"R$ 5.527,35"</f>
        <v>R$ 5.527,35</v>
      </c>
      <c r="H306" t="str">
        <f t="shared" si="26"/>
        <v>R$ 0,00</v>
      </c>
      <c r="I306" t="str">
        <f>"R$ 5.527,35"</f>
        <v>R$ 5.527,35</v>
      </c>
      <c r="J306" t="str">
        <f>"R$ 3.362,19"</f>
        <v>R$ 3.362,19</v>
      </c>
      <c r="K306" t="str">
        <f>"R$ 2.165,16"</f>
        <v>R$ 2.165,16</v>
      </c>
    </row>
    <row r="307" spans="1:11" x14ac:dyDescent="0.25">
      <c r="A307" t="str">
        <f>"00008753 / 2"</f>
        <v>00008753 / 2</v>
      </c>
      <c r="B307" t="str">
        <f>"Folha Mensal"</f>
        <v>Folha Mensal</v>
      </c>
      <c r="C307" t="str">
        <f>"Clemilda Piquet Lopes"</f>
        <v>Clemilda Piquet Lopes</v>
      </c>
      <c r="D307" t="str">
        <f>"PROFESSOR NIVEL III"</f>
        <v>PROFESSOR NIVEL III</v>
      </c>
      <c r="E307" t="str">
        <f>"Efetivo-Inativos II-RJUSM"</f>
        <v>Efetivo-Inativos II-RJUSM</v>
      </c>
      <c r="F307" t="str">
        <f>"R$ 4.421,88"</f>
        <v>R$ 4.421,88</v>
      </c>
      <c r="G307" t="str">
        <f>"R$ 5.527,35"</f>
        <v>R$ 5.527,35</v>
      </c>
      <c r="H307" t="str">
        <f t="shared" si="26"/>
        <v>R$ 0,00</v>
      </c>
      <c r="I307" t="str">
        <f>"R$ 5.527,35"</f>
        <v>R$ 5.527,35</v>
      </c>
      <c r="J307" t="str">
        <f>"R$ 2.076,21"</f>
        <v>R$ 2.076,21</v>
      </c>
      <c r="K307" t="str">
        <f>"R$ 3.451,14"</f>
        <v>R$ 3.451,14</v>
      </c>
    </row>
    <row r="308" spans="1:11" x14ac:dyDescent="0.25">
      <c r="A308" t="str">
        <f>"03642178 / 1"</f>
        <v>03642178 / 1</v>
      </c>
      <c r="B308" t="str">
        <f>"13° Salário Anual"</f>
        <v>13° Salário Anual</v>
      </c>
      <c r="C308" t="str">
        <f>"Cleonice Mitre Carrenho"</f>
        <v>Cleonice Mitre Carrenho</v>
      </c>
      <c r="D308" t="str">
        <f>"PENSIONISTA"</f>
        <v>PENSIONISTA</v>
      </c>
      <c r="E308" t="str">
        <f>"Pensionista"</f>
        <v>Pensionista</v>
      </c>
      <c r="F308" t="str">
        <f>"R$ 3.300,00"</f>
        <v>R$ 3.300,00</v>
      </c>
      <c r="G308" t="str">
        <f>"R$ 3.300,00"</f>
        <v>R$ 3.300,00</v>
      </c>
      <c r="H308" t="str">
        <f t="shared" si="26"/>
        <v>R$ 0,00</v>
      </c>
      <c r="I308" t="str">
        <f>"R$ 3.300,00"</f>
        <v>R$ 3.300,00</v>
      </c>
      <c r="J308" t="str">
        <f>"R$ 1.650,00"</f>
        <v>R$ 1.650,00</v>
      </c>
      <c r="K308" t="str">
        <f>"R$ 1.650,00"</f>
        <v>R$ 1.650,00</v>
      </c>
    </row>
    <row r="309" spans="1:11" x14ac:dyDescent="0.25">
      <c r="A309" t="str">
        <f>"03642178 / 1"</f>
        <v>03642178 / 1</v>
      </c>
      <c r="B309" t="str">
        <f>"Folha Mensal"</f>
        <v>Folha Mensal</v>
      </c>
      <c r="C309" t="str">
        <f>"Cleonice Mitre Carrenho"</f>
        <v>Cleonice Mitre Carrenho</v>
      </c>
      <c r="D309" t="str">
        <f>"PENSIONISTA"</f>
        <v>PENSIONISTA</v>
      </c>
      <c r="E309" t="str">
        <f>"Pensionista"</f>
        <v>Pensionista</v>
      </c>
      <c r="F309" t="str">
        <f>"R$ 3.300,00"</f>
        <v>R$ 3.300,00</v>
      </c>
      <c r="G309" t="str">
        <f>"R$ 3.300,00"</f>
        <v>R$ 3.300,00</v>
      </c>
      <c r="H309" t="str">
        <f t="shared" si="26"/>
        <v>R$ 0,00</v>
      </c>
      <c r="I309" t="str">
        <f>"R$ 3.300,00"</f>
        <v>R$ 3.300,00</v>
      </c>
      <c r="J309" t="str">
        <f>"R$ 0,00"</f>
        <v>R$ 0,00</v>
      </c>
      <c r="K309" t="str">
        <f>"R$ 3.300,00"</f>
        <v>R$ 3.300,00</v>
      </c>
    </row>
    <row r="310" spans="1:11" x14ac:dyDescent="0.25">
      <c r="A310" t="str">
        <f>"03640973 / 1"</f>
        <v>03640973 / 1</v>
      </c>
      <c r="B310" t="str">
        <f>"13° Salário Anual"</f>
        <v>13° Salário Anual</v>
      </c>
      <c r="C310" t="str">
        <f>"Cleres Cristina Silva Fernandes"</f>
        <v>Cleres Cristina Silva Fernandes</v>
      </c>
      <c r="D310" t="str">
        <f>"DAS 05"</f>
        <v>DAS 05</v>
      </c>
      <c r="E310" t="str">
        <f>"Comissionado"</f>
        <v>Comissionado</v>
      </c>
      <c r="F310" t="str">
        <f>"R$ 2.025,00"</f>
        <v>R$ 2.025,00</v>
      </c>
      <c r="G310" t="str">
        <f>"R$ 1.687,50"</f>
        <v>R$ 1.687,50</v>
      </c>
      <c r="H310" t="str">
        <f t="shared" si="26"/>
        <v>R$ 0,00</v>
      </c>
      <c r="I310" t="str">
        <f>"R$ 1.687,50"</f>
        <v>R$ 1.687,50</v>
      </c>
      <c r="J310" t="str">
        <f>"R$ 979,12"</f>
        <v>R$ 979,12</v>
      </c>
      <c r="K310" t="str">
        <f>"R$ 708,38"</f>
        <v>R$ 708,38</v>
      </c>
    </row>
    <row r="311" spans="1:11" x14ac:dyDescent="0.25">
      <c r="A311" t="str">
        <f>"03640973 / 1"</f>
        <v>03640973 / 1</v>
      </c>
      <c r="B311" t="str">
        <f>"Folha Mensal"</f>
        <v>Folha Mensal</v>
      </c>
      <c r="C311" t="str">
        <f>"Cleres Cristina Silva Fernandes"</f>
        <v>Cleres Cristina Silva Fernandes</v>
      </c>
      <c r="D311" t="str">
        <f>"DAS 05"</f>
        <v>DAS 05</v>
      </c>
      <c r="E311" t="str">
        <f>"Comissionado"</f>
        <v>Comissionado</v>
      </c>
      <c r="F311" t="str">
        <f>"R$ 2.025,00"</f>
        <v>R$ 2.025,00</v>
      </c>
      <c r="G311" t="str">
        <f>"R$ 2.025,00"</f>
        <v>R$ 2.025,00</v>
      </c>
      <c r="H311" t="str">
        <f t="shared" si="26"/>
        <v>R$ 0,00</v>
      </c>
      <c r="I311" t="str">
        <f>"R$ 2.025,00"</f>
        <v>R$ 2.025,00</v>
      </c>
      <c r="J311" t="str">
        <f>"R$ 165,75"</f>
        <v>R$ 165,75</v>
      </c>
      <c r="K311" t="str">
        <f>"R$ 1.859,25"</f>
        <v>R$ 1.859,25</v>
      </c>
    </row>
    <row r="312" spans="1:11" x14ac:dyDescent="0.25">
      <c r="A312" t="str">
        <f>"00026883 / 1"</f>
        <v>00026883 / 1</v>
      </c>
      <c r="B312" t="str">
        <f>"13° Salário Anual"</f>
        <v>13° Salário Anual</v>
      </c>
      <c r="C312" t="str">
        <f>"Conceicao Araujo Correa"</f>
        <v>Conceicao Araujo Correa</v>
      </c>
      <c r="D312" t="str">
        <f>"PROFESSOR"</f>
        <v>PROFESSOR</v>
      </c>
      <c r="E312" t="str">
        <f t="shared" ref="E312:E317" si="28">"Efetivo-Inativo I- RJUSM"</f>
        <v>Efetivo-Inativo I- RJUSM</v>
      </c>
      <c r="F312" t="str">
        <f>"R$ 2.071,51"</f>
        <v>R$ 2.071,51</v>
      </c>
      <c r="G312" t="str">
        <f>"R$ 2.589,38"</f>
        <v>R$ 2.589,38</v>
      </c>
      <c r="H312" t="str">
        <f t="shared" si="26"/>
        <v>R$ 0,00</v>
      </c>
      <c r="I312" t="str">
        <f>"R$ 2.589,38"</f>
        <v>R$ 2.589,38</v>
      </c>
      <c r="J312" t="str">
        <f>"R$ 1.331,87"</f>
        <v>R$ 1.331,87</v>
      </c>
      <c r="K312" t="str">
        <f>"R$ 1.257,51"</f>
        <v>R$ 1.257,51</v>
      </c>
    </row>
    <row r="313" spans="1:11" x14ac:dyDescent="0.25">
      <c r="A313" t="str">
        <f>"00026883 / 1"</f>
        <v>00026883 / 1</v>
      </c>
      <c r="B313" t="str">
        <f>"Folha Mensal"</f>
        <v>Folha Mensal</v>
      </c>
      <c r="C313" t="str">
        <f>"Conceicao Araujo Correa"</f>
        <v>Conceicao Araujo Correa</v>
      </c>
      <c r="D313" t="str">
        <f>"PROFESSOR"</f>
        <v>PROFESSOR</v>
      </c>
      <c r="E313" t="str">
        <f t="shared" si="28"/>
        <v>Efetivo-Inativo I- RJUSM</v>
      </c>
      <c r="F313" t="str">
        <f>"R$ 2.071,51"</f>
        <v>R$ 2.071,51</v>
      </c>
      <c r="G313" t="str">
        <f>"R$ 2.589,38"</f>
        <v>R$ 2.589,38</v>
      </c>
      <c r="H313" t="str">
        <f t="shared" si="26"/>
        <v>R$ 0,00</v>
      </c>
      <c r="I313" t="str">
        <f>"R$ 2.589,38"</f>
        <v>R$ 2.589,38</v>
      </c>
      <c r="J313" t="str">
        <f>"R$ 37,18"</f>
        <v>R$ 37,18</v>
      </c>
      <c r="K313" t="str">
        <f>"R$ 2.552,20"</f>
        <v>R$ 2.552,20</v>
      </c>
    </row>
    <row r="314" spans="1:11" x14ac:dyDescent="0.25">
      <c r="A314" t="str">
        <f>"03642704 / 1"</f>
        <v>03642704 / 1</v>
      </c>
      <c r="B314" t="str">
        <f>"13° Salário Anual"</f>
        <v>13° Salário Anual</v>
      </c>
      <c r="C314" t="str">
        <f>"Conceicao Bastos Lobato"</f>
        <v>Conceicao Bastos Lobato</v>
      </c>
      <c r="D314" t="str">
        <f>"INATIVO"</f>
        <v>INATIVO</v>
      </c>
      <c r="E314" t="str">
        <f t="shared" si="28"/>
        <v>Efetivo-Inativo I- RJUSM</v>
      </c>
      <c r="F314" t="str">
        <f>"R$ 1.100,00"</f>
        <v>R$ 1.100,00</v>
      </c>
      <c r="G314" t="str">
        <f>"R$ 1.155,00"</f>
        <v>R$ 1.155,00</v>
      </c>
      <c r="H314" t="str">
        <f t="shared" si="26"/>
        <v>R$ 0,00</v>
      </c>
      <c r="I314" t="str">
        <f>"R$ 1.155,00"</f>
        <v>R$ 1.155,00</v>
      </c>
      <c r="J314" t="str">
        <f>"R$ 577,50"</f>
        <v>R$ 577,50</v>
      </c>
      <c r="K314" t="str">
        <f>"R$ 577,50"</f>
        <v>R$ 577,50</v>
      </c>
    </row>
    <row r="315" spans="1:11" x14ac:dyDescent="0.25">
      <c r="A315" t="str">
        <f>"03642704 / 1"</f>
        <v>03642704 / 1</v>
      </c>
      <c r="B315" t="str">
        <f>"Folha Mensal"</f>
        <v>Folha Mensal</v>
      </c>
      <c r="C315" t="str">
        <f>"Conceicao Bastos Lobato"</f>
        <v>Conceicao Bastos Lobato</v>
      </c>
      <c r="D315" t="str">
        <f>"INATIVO"</f>
        <v>INATIVO</v>
      </c>
      <c r="E315" t="str">
        <f t="shared" si="28"/>
        <v>Efetivo-Inativo I- RJUSM</v>
      </c>
      <c r="F315" t="str">
        <f>"R$ 1.100,00"</f>
        <v>R$ 1.100,00</v>
      </c>
      <c r="G315" t="str">
        <f>"R$ 1.155,00"</f>
        <v>R$ 1.155,00</v>
      </c>
      <c r="H315" t="str">
        <f t="shared" si="26"/>
        <v>R$ 0,00</v>
      </c>
      <c r="I315" t="str">
        <f>"R$ 1.155,00"</f>
        <v>R$ 1.155,00</v>
      </c>
      <c r="J315" t="str">
        <f>"R$ 0,00"</f>
        <v>R$ 0,00</v>
      </c>
      <c r="K315" t="str">
        <f>"R$ 1.155,00"</f>
        <v>R$ 1.155,00</v>
      </c>
    </row>
    <row r="316" spans="1:11" x14ac:dyDescent="0.25">
      <c r="A316" t="str">
        <f>"00000892 / 1"</f>
        <v>00000892 / 1</v>
      </c>
      <c r="B316" t="str">
        <f>"13° Salário Anual"</f>
        <v>13° Salário Anual</v>
      </c>
      <c r="C316" t="str">
        <f>"Creuza dos Santos Alencar de Melo"</f>
        <v>Creuza dos Santos Alencar de Melo</v>
      </c>
      <c r="D316" t="str">
        <f>"INT TEMP SERVICO"</f>
        <v>INT TEMP SERVICO</v>
      </c>
      <c r="E316" t="str">
        <f t="shared" si="28"/>
        <v>Efetivo-Inativo I- RJUSM</v>
      </c>
      <c r="F316" t="str">
        <f>"R$ 1.100,00"</f>
        <v>R$ 1.100,00</v>
      </c>
      <c r="G316" t="str">
        <f>"R$ 1.430,00"</f>
        <v>R$ 1.430,00</v>
      </c>
      <c r="H316" t="str">
        <f t="shared" si="26"/>
        <v>R$ 0,00</v>
      </c>
      <c r="I316" t="str">
        <f>"R$ 1.430,00"</f>
        <v>R$ 1.430,00</v>
      </c>
      <c r="J316" t="str">
        <f>"R$ 715,00"</f>
        <v>R$ 715,00</v>
      </c>
      <c r="K316" t="str">
        <f>"R$ 715,00"</f>
        <v>R$ 715,00</v>
      </c>
    </row>
    <row r="317" spans="1:11" x14ac:dyDescent="0.25">
      <c r="A317" t="str">
        <f>"00000892 / 1"</f>
        <v>00000892 / 1</v>
      </c>
      <c r="B317" t="str">
        <f>"Folha Mensal"</f>
        <v>Folha Mensal</v>
      </c>
      <c r="C317" t="str">
        <f>"Creuza dos Santos Alencar de Melo"</f>
        <v>Creuza dos Santos Alencar de Melo</v>
      </c>
      <c r="D317" t="str">
        <f>"INT TEMP SERVICO"</f>
        <v>INT TEMP SERVICO</v>
      </c>
      <c r="E317" t="str">
        <f t="shared" si="28"/>
        <v>Efetivo-Inativo I- RJUSM</v>
      </c>
      <c r="F317" t="str">
        <f>"R$ 1.100,00"</f>
        <v>R$ 1.100,00</v>
      </c>
      <c r="G317" t="str">
        <f>"R$ 1.430,00"</f>
        <v>R$ 1.430,00</v>
      </c>
      <c r="H317" t="str">
        <f t="shared" si="26"/>
        <v>R$ 0,00</v>
      </c>
      <c r="I317" t="str">
        <f>"R$ 1.430,00"</f>
        <v>R$ 1.430,00</v>
      </c>
      <c r="J317" t="str">
        <f>"R$ 0,00"</f>
        <v>R$ 0,00</v>
      </c>
      <c r="K317" t="str">
        <f>"R$ 1.430,00"</f>
        <v>R$ 1.430,00</v>
      </c>
    </row>
    <row r="318" spans="1:11" x14ac:dyDescent="0.25">
      <c r="A318" t="str">
        <f>"00032069 / 2"</f>
        <v>00032069 / 2</v>
      </c>
      <c r="B318" t="str">
        <f>"13° Salário Anual"</f>
        <v>13° Salário Anual</v>
      </c>
      <c r="C318" t="str">
        <f>"Creuza Ferreira dos Santos"</f>
        <v>Creuza Ferreira dos Santos</v>
      </c>
      <c r="D318" t="str">
        <f>"PROFESSOR NIVEL II"</f>
        <v>PROFESSOR NIVEL II</v>
      </c>
      <c r="E318" t="str">
        <f>"Efetivo-Inativos II-RJUSM"</f>
        <v>Efetivo-Inativos II-RJUSM</v>
      </c>
      <c r="F318" t="str">
        <f>"R$ 2.708,90"</f>
        <v>R$ 2.708,90</v>
      </c>
      <c r="G318" t="str">
        <f>"R$ 3.250,68"</f>
        <v>R$ 3.250,68</v>
      </c>
      <c r="H318" t="str">
        <f t="shared" si="26"/>
        <v>R$ 0,00</v>
      </c>
      <c r="I318" t="str">
        <f>"R$ 3.250,68"</f>
        <v>R$ 3.250,68</v>
      </c>
      <c r="J318" t="str">
        <f>"R$ 1.758,14"</f>
        <v>R$ 1.758,14</v>
      </c>
      <c r="K318" t="str">
        <f>"R$ 1.492,54"</f>
        <v>R$ 1.492,54</v>
      </c>
    </row>
    <row r="319" spans="1:11" x14ac:dyDescent="0.25">
      <c r="A319" t="str">
        <f>"00032069 / 2"</f>
        <v>00032069 / 2</v>
      </c>
      <c r="B319" t="str">
        <f>"Folha Mensal"</f>
        <v>Folha Mensal</v>
      </c>
      <c r="C319" t="str">
        <f>"Creuza Ferreira dos Santos"</f>
        <v>Creuza Ferreira dos Santos</v>
      </c>
      <c r="D319" t="str">
        <f>"PROFESSOR NIVEL II"</f>
        <v>PROFESSOR NIVEL II</v>
      </c>
      <c r="E319" t="str">
        <f>"Efetivo-Inativos II-RJUSM"</f>
        <v>Efetivo-Inativos II-RJUSM</v>
      </c>
      <c r="F319" t="str">
        <f>"R$ 2.708,90"</f>
        <v>R$ 2.708,90</v>
      </c>
      <c r="G319" t="str">
        <f>"R$ 3.250,68"</f>
        <v>R$ 3.250,68</v>
      </c>
      <c r="H319" t="str">
        <f t="shared" si="26"/>
        <v>R$ 0,00</v>
      </c>
      <c r="I319" t="str">
        <f>"R$ 3.250,68"</f>
        <v>R$ 3.250,68</v>
      </c>
      <c r="J319" t="str">
        <f>"R$ 1.066,54"</f>
        <v>R$ 1.066,54</v>
      </c>
      <c r="K319" t="str">
        <f>"R$ 2.184,14"</f>
        <v>R$ 2.184,14</v>
      </c>
    </row>
    <row r="320" spans="1:11" x14ac:dyDescent="0.25">
      <c r="A320" t="str">
        <f>"00026891 / 1"</f>
        <v>00026891 / 1</v>
      </c>
      <c r="B320" t="str">
        <f>"13° Salário Anual"</f>
        <v>13° Salário Anual</v>
      </c>
      <c r="C320" t="str">
        <f>"Creuza Miranda de Souza"</f>
        <v>Creuza Miranda de Souza</v>
      </c>
      <c r="D320" t="str">
        <f>"INT TEMP CONTRIBUICAO"</f>
        <v>INT TEMP CONTRIBUICAO</v>
      </c>
      <c r="E320" t="str">
        <f>"Efetivo-Inativos II-RJUSM"</f>
        <v>Efetivo-Inativos II-RJUSM</v>
      </c>
      <c r="F320" t="str">
        <f>"R$ 1.100,00"</f>
        <v>R$ 1.100,00</v>
      </c>
      <c r="G320" t="str">
        <f>"R$ 1.430,00"</f>
        <v>R$ 1.430,00</v>
      </c>
      <c r="H320" t="str">
        <f t="shared" si="26"/>
        <v>R$ 0,00</v>
      </c>
      <c r="I320" t="str">
        <f>"R$ 1.430,00"</f>
        <v>R$ 1.430,00</v>
      </c>
      <c r="J320" t="str">
        <f>"R$ 715,00"</f>
        <v>R$ 715,00</v>
      </c>
      <c r="K320" t="str">
        <f>"R$ 715,00"</f>
        <v>R$ 715,00</v>
      </c>
    </row>
    <row r="321" spans="1:11" x14ac:dyDescent="0.25">
      <c r="A321" t="str">
        <f>"00026891 / 1"</f>
        <v>00026891 / 1</v>
      </c>
      <c r="B321" t="str">
        <f>"Folha Mensal"</f>
        <v>Folha Mensal</v>
      </c>
      <c r="C321" t="str">
        <f>"Creuza Miranda de Souza"</f>
        <v>Creuza Miranda de Souza</v>
      </c>
      <c r="D321" t="str">
        <f>"INT TEMP CONTRIBUICAO"</f>
        <v>INT TEMP CONTRIBUICAO</v>
      </c>
      <c r="E321" t="str">
        <f>"Efetivo-Inativos II-RJUSM"</f>
        <v>Efetivo-Inativos II-RJUSM</v>
      </c>
      <c r="F321" t="str">
        <f>"R$ 1.100,00"</f>
        <v>R$ 1.100,00</v>
      </c>
      <c r="G321" t="str">
        <f>"R$ 1.430,00"</f>
        <v>R$ 1.430,00</v>
      </c>
      <c r="H321" t="str">
        <f t="shared" si="26"/>
        <v>R$ 0,00</v>
      </c>
      <c r="I321" t="str">
        <f>"R$ 1.430,00"</f>
        <v>R$ 1.430,00</v>
      </c>
      <c r="J321" t="str">
        <f>"R$ 0,00"</f>
        <v>R$ 0,00</v>
      </c>
      <c r="K321" t="str">
        <f>"R$ 1.430,00"</f>
        <v>R$ 1.430,00</v>
      </c>
    </row>
    <row r="322" spans="1:11" x14ac:dyDescent="0.25">
      <c r="A322" t="str">
        <f>"00002976 / 1"</f>
        <v>00002976 / 1</v>
      </c>
      <c r="B322" t="str">
        <f>"13° Salário Anual"</f>
        <v>13° Salário Anual</v>
      </c>
      <c r="C322" t="str">
        <f>"Creuza Queiroz Frazao"</f>
        <v>Creuza Queiroz Frazao</v>
      </c>
      <c r="D322" t="str">
        <f>"PROP IDADE"</f>
        <v>PROP IDADE</v>
      </c>
      <c r="E322" t="str">
        <f>"Efetivo-Inativo I- RJUSM"</f>
        <v>Efetivo-Inativo I- RJUSM</v>
      </c>
      <c r="F322" t="str">
        <f>"R$ 1.100,00"</f>
        <v>R$ 1.100,00</v>
      </c>
      <c r="G322" t="str">
        <f>"R$ 1.100,00"</f>
        <v>R$ 1.100,00</v>
      </c>
      <c r="H322" t="str">
        <f t="shared" si="26"/>
        <v>R$ 0,00</v>
      </c>
      <c r="I322" t="str">
        <f>"R$ 1.100,00"</f>
        <v>R$ 1.100,00</v>
      </c>
      <c r="J322" t="str">
        <f>"R$ 550,00"</f>
        <v>R$ 550,00</v>
      </c>
      <c r="K322" t="str">
        <f>"R$ 550,00"</f>
        <v>R$ 550,00</v>
      </c>
    </row>
    <row r="323" spans="1:11" x14ac:dyDescent="0.25">
      <c r="A323" t="str">
        <f>"00002976 / 1"</f>
        <v>00002976 / 1</v>
      </c>
      <c r="B323" t="str">
        <f>"Folha Mensal"</f>
        <v>Folha Mensal</v>
      </c>
      <c r="C323" t="str">
        <f>"Creuza Queiroz Frazao"</f>
        <v>Creuza Queiroz Frazao</v>
      </c>
      <c r="D323" t="str">
        <f>"PROP IDADE"</f>
        <v>PROP IDADE</v>
      </c>
      <c r="E323" t="str">
        <f>"Efetivo-Inativo I- RJUSM"</f>
        <v>Efetivo-Inativo I- RJUSM</v>
      </c>
      <c r="F323" t="str">
        <f>"R$ 1.100,00"</f>
        <v>R$ 1.100,00</v>
      </c>
      <c r="G323" t="str">
        <f>"R$ 1.100,00"</f>
        <v>R$ 1.100,00</v>
      </c>
      <c r="H323" t="str">
        <f t="shared" si="26"/>
        <v>R$ 0,00</v>
      </c>
      <c r="I323" t="str">
        <f>"R$ 1.100,00"</f>
        <v>R$ 1.100,00</v>
      </c>
      <c r="J323" t="str">
        <f>"R$ 0,00"</f>
        <v>R$ 0,00</v>
      </c>
      <c r="K323" t="str">
        <f>"R$ 1.100,00"</f>
        <v>R$ 1.100,00</v>
      </c>
    </row>
    <row r="324" spans="1:11" x14ac:dyDescent="0.25">
      <c r="A324" t="str">
        <f>"00272558 / 2"</f>
        <v>00272558 / 2</v>
      </c>
      <c r="B324" t="str">
        <f>"13° Salário Anual"</f>
        <v>13° Salário Anual</v>
      </c>
      <c r="C324" t="str">
        <f>"Crislena Evelin Pereira da Costa"</f>
        <v>Crislena Evelin Pereira da Costa</v>
      </c>
      <c r="D324" t="str">
        <f>"PROFESSOR"</f>
        <v>PROFESSOR</v>
      </c>
      <c r="E324" t="str">
        <f>"Efetivo-Inativo I- RJUSM"</f>
        <v>Efetivo-Inativo I- RJUSM</v>
      </c>
      <c r="F324" t="str">
        <f>"R$ 2.071,51"</f>
        <v>R$ 2.071,51</v>
      </c>
      <c r="G324" t="str">
        <f>"R$ 2.589,38"</f>
        <v>R$ 2.589,38</v>
      </c>
      <c r="H324" t="str">
        <f t="shared" ref="H324:H348" si="29">"R$ 0,00"</f>
        <v>R$ 0,00</v>
      </c>
      <c r="I324" t="str">
        <f>"R$ 2.589,38"</f>
        <v>R$ 2.589,38</v>
      </c>
      <c r="J324" t="str">
        <f>"R$ 1.331,87"</f>
        <v>R$ 1.331,87</v>
      </c>
      <c r="K324" t="str">
        <f>"R$ 1.257,51"</f>
        <v>R$ 1.257,51</v>
      </c>
    </row>
    <row r="325" spans="1:11" x14ac:dyDescent="0.25">
      <c r="A325" t="str">
        <f>"00272558 / 2"</f>
        <v>00272558 / 2</v>
      </c>
      <c r="B325" t="str">
        <f>"Folha Mensal"</f>
        <v>Folha Mensal</v>
      </c>
      <c r="C325" t="str">
        <f>"Crislena Evelin Pereira da Costa"</f>
        <v>Crislena Evelin Pereira da Costa</v>
      </c>
      <c r="D325" t="str">
        <f>"PROFESSOR"</f>
        <v>PROFESSOR</v>
      </c>
      <c r="E325" t="str">
        <f>"Efetivo-Inativo I- RJUSM"</f>
        <v>Efetivo-Inativo I- RJUSM</v>
      </c>
      <c r="F325" t="str">
        <f>"R$ 2.071,51"</f>
        <v>R$ 2.071,51</v>
      </c>
      <c r="G325" t="str">
        <f>"R$ 2.589,38"</f>
        <v>R$ 2.589,38</v>
      </c>
      <c r="H325" t="str">
        <f t="shared" si="29"/>
        <v>R$ 0,00</v>
      </c>
      <c r="I325" t="str">
        <f>"R$ 2.589,38"</f>
        <v>R$ 2.589,38</v>
      </c>
      <c r="J325" t="str">
        <f>"R$ 1.020,34"</f>
        <v>R$ 1.020,34</v>
      </c>
      <c r="K325" t="str">
        <f>"R$ 1.569,04"</f>
        <v>R$ 1.569,04</v>
      </c>
    </row>
    <row r="326" spans="1:11" x14ac:dyDescent="0.25">
      <c r="A326" t="str">
        <f>"03642550 / 1"</f>
        <v>03642550 / 1</v>
      </c>
      <c r="B326" t="str">
        <f>"13° Salário Anual"</f>
        <v>13° Salário Anual</v>
      </c>
      <c r="C326" t="str">
        <f>"Cristine Georgia Lopes de Lima"</f>
        <v>Cristine Georgia Lopes de Lima</v>
      </c>
      <c r="D326" t="str">
        <f>"PENSIONISTA DE PROFESSOR"</f>
        <v>PENSIONISTA DE PROFESSOR</v>
      </c>
      <c r="E326" t="str">
        <f>"Pensionista"</f>
        <v>Pensionista</v>
      </c>
      <c r="F326" t="str">
        <f>"R$ 874,74"</f>
        <v>R$ 874,74</v>
      </c>
      <c r="G326" t="str">
        <f>"R$ 874,74"</f>
        <v>R$ 874,74</v>
      </c>
      <c r="H326" t="str">
        <f t="shared" si="29"/>
        <v>R$ 0,00</v>
      </c>
      <c r="I326" t="str">
        <f>"R$ 874,74"</f>
        <v>R$ 874,74</v>
      </c>
      <c r="J326" t="str">
        <f>"R$ 437,37"</f>
        <v>R$ 437,37</v>
      </c>
      <c r="K326" t="str">
        <f>"R$ 437,37"</f>
        <v>R$ 437,37</v>
      </c>
    </row>
    <row r="327" spans="1:11" x14ac:dyDescent="0.25">
      <c r="A327" t="str">
        <f>"03642550 / 1"</f>
        <v>03642550 / 1</v>
      </c>
      <c r="B327" t="str">
        <f>"Folha Mensal"</f>
        <v>Folha Mensal</v>
      </c>
      <c r="C327" t="str">
        <f>"Cristine Georgia Lopes de Lima"</f>
        <v>Cristine Georgia Lopes de Lima</v>
      </c>
      <c r="D327" t="str">
        <f>"PENSIONISTA DE PROFESSOR"</f>
        <v>PENSIONISTA DE PROFESSOR</v>
      </c>
      <c r="E327" t="str">
        <f>"Pensionista"</f>
        <v>Pensionista</v>
      </c>
      <c r="F327" t="str">
        <f>"R$ 874,74"</f>
        <v>R$ 874,74</v>
      </c>
      <c r="G327" t="str">
        <f>"R$ 874,74"</f>
        <v>R$ 874,74</v>
      </c>
      <c r="H327" t="str">
        <f t="shared" si="29"/>
        <v>R$ 0,00</v>
      </c>
      <c r="I327" t="str">
        <f>"R$ 874,74"</f>
        <v>R$ 874,74</v>
      </c>
      <c r="J327" t="str">
        <f>"R$ 159,12"</f>
        <v>R$ 159,12</v>
      </c>
      <c r="K327" t="str">
        <f>"R$ 715,62"</f>
        <v>R$ 715,62</v>
      </c>
    </row>
    <row r="328" spans="1:11" x14ac:dyDescent="0.25">
      <c r="A328" t="str">
        <f>"03642569 / 1"</f>
        <v>03642569 / 1</v>
      </c>
      <c r="B328" t="str">
        <f>"13° Salário Anual"</f>
        <v>13° Salário Anual</v>
      </c>
      <c r="C328" t="str">
        <f>"Daniel Gomes da Silva"</f>
        <v>Daniel Gomes da Silva</v>
      </c>
      <c r="D328" t="str">
        <f>"PENSIONISTA DE PROFESSOR"</f>
        <v>PENSIONISTA DE PROFESSOR</v>
      </c>
      <c r="E328" t="str">
        <f>"Pensionista"</f>
        <v>Pensionista</v>
      </c>
      <c r="F328" t="str">
        <f>"R$ 2.071,51"</f>
        <v>R$ 2.071,51</v>
      </c>
      <c r="G328" t="str">
        <f>"R$ 4.660,89"</f>
        <v>R$ 4.660,89</v>
      </c>
      <c r="H328" t="str">
        <f t="shared" si="29"/>
        <v>R$ 0,00</v>
      </c>
      <c r="I328" t="str">
        <f>"R$ 4.660,89"</f>
        <v>R$ 4.660,89</v>
      </c>
      <c r="J328" t="str">
        <f>"R$ 2.330,44"</f>
        <v>R$ 2.330,44</v>
      </c>
      <c r="K328" t="str">
        <f>"R$ 2.330,45"</f>
        <v>R$ 2.330,45</v>
      </c>
    </row>
    <row r="329" spans="1:11" x14ac:dyDescent="0.25">
      <c r="A329" t="str">
        <f>"03642569 / 1"</f>
        <v>03642569 / 1</v>
      </c>
      <c r="B329" t="str">
        <f>"Folha Mensal"</f>
        <v>Folha Mensal</v>
      </c>
      <c r="C329" t="str">
        <f>"Daniel Gomes da Silva"</f>
        <v>Daniel Gomes da Silva</v>
      </c>
      <c r="D329" t="str">
        <f>"PENSIONISTA DE PROFESSOR"</f>
        <v>PENSIONISTA DE PROFESSOR</v>
      </c>
      <c r="E329" t="str">
        <f>"Pensionista"</f>
        <v>Pensionista</v>
      </c>
      <c r="F329" t="str">
        <f>"R$ 2.071,51"</f>
        <v>R$ 2.071,51</v>
      </c>
      <c r="G329" t="str">
        <f>"R$ 4.660,89"</f>
        <v>R$ 4.660,89</v>
      </c>
      <c r="H329" t="str">
        <f t="shared" si="29"/>
        <v>R$ 0,00</v>
      </c>
      <c r="I329" t="str">
        <f>"R$ 4.660,89"</f>
        <v>R$ 4.660,89</v>
      </c>
      <c r="J329" t="str">
        <f>"R$ 0,00"</f>
        <v>R$ 0,00</v>
      </c>
      <c r="K329" t="str">
        <f>"R$ 4.660,89"</f>
        <v>R$ 4.660,89</v>
      </c>
    </row>
    <row r="330" spans="1:11" x14ac:dyDescent="0.25">
      <c r="A330" t="str">
        <f>"03641309 / 1"</f>
        <v>03641309 / 1</v>
      </c>
      <c r="B330" t="str">
        <f>"13° Salário Anual"</f>
        <v>13° Salário Anual</v>
      </c>
      <c r="C330" t="str">
        <f>"Daniel Magalhaes Lopes"</f>
        <v>Daniel Magalhaes Lopes</v>
      </c>
      <c r="D330" t="str">
        <f>"DAS 05"</f>
        <v>DAS 05</v>
      </c>
      <c r="E330" t="str">
        <f>"Comissionado"</f>
        <v>Comissionado</v>
      </c>
      <c r="F330" t="str">
        <f>"R$ 2.025,00"</f>
        <v>R$ 2.025,00</v>
      </c>
      <c r="G330" t="str">
        <f>"R$ 1.518,75"</f>
        <v>R$ 1.518,75</v>
      </c>
      <c r="H330" t="str">
        <f t="shared" si="29"/>
        <v>R$ 0,00</v>
      </c>
      <c r="I330" t="str">
        <f>"R$ 1.518,75"</f>
        <v>R$ 1.518,75</v>
      </c>
      <c r="J330" t="str">
        <f>"R$ 879,55"</f>
        <v>R$ 879,55</v>
      </c>
      <c r="K330" t="str">
        <f>"R$ 639,20"</f>
        <v>R$ 639,20</v>
      </c>
    </row>
    <row r="331" spans="1:11" x14ac:dyDescent="0.25">
      <c r="A331" t="str">
        <f>"03641309 / 1"</f>
        <v>03641309 / 1</v>
      </c>
      <c r="B331" t="str">
        <f>"Folha Mensal"</f>
        <v>Folha Mensal</v>
      </c>
      <c r="C331" t="str">
        <f>"Daniel Magalhaes Lopes"</f>
        <v>Daniel Magalhaes Lopes</v>
      </c>
      <c r="D331" t="str">
        <f>"DAS 05"</f>
        <v>DAS 05</v>
      </c>
      <c r="E331" t="str">
        <f>"Comissionado"</f>
        <v>Comissionado</v>
      </c>
      <c r="F331" t="str">
        <f>"R$ 2.025,00"</f>
        <v>R$ 2.025,00</v>
      </c>
      <c r="G331" t="str">
        <f>"R$ 2.025,00"</f>
        <v>R$ 2.025,00</v>
      </c>
      <c r="H331" t="str">
        <f t="shared" si="29"/>
        <v>R$ 0,00</v>
      </c>
      <c r="I331" t="str">
        <f>"R$ 2.025,00"</f>
        <v>R$ 2.025,00</v>
      </c>
      <c r="J331" t="str">
        <f>"R$ 165,75"</f>
        <v>R$ 165,75</v>
      </c>
      <c r="K331" t="str">
        <f>"R$ 1.859,25"</f>
        <v>R$ 1.859,25</v>
      </c>
    </row>
    <row r="332" spans="1:11" x14ac:dyDescent="0.25">
      <c r="A332" t="str">
        <f>"03642712 / 1"</f>
        <v>03642712 / 1</v>
      </c>
      <c r="B332" t="str">
        <f>"13° Salário Anual"</f>
        <v>13° Salário Anual</v>
      </c>
      <c r="C332" t="str">
        <f>"Danilza Corecha da Silva"</f>
        <v>Danilza Corecha da Silva</v>
      </c>
      <c r="D332" t="str">
        <f>"PENSIONISTA"</f>
        <v>PENSIONISTA</v>
      </c>
      <c r="E332" t="str">
        <f>"Pensionista"</f>
        <v>Pensionista</v>
      </c>
      <c r="F332" t="str">
        <f>"R$ 1.100,00"</f>
        <v>R$ 1.100,00</v>
      </c>
      <c r="G332" t="str">
        <f>"R$ 1.100,00"</f>
        <v>R$ 1.100,00</v>
      </c>
      <c r="H332" t="str">
        <f t="shared" si="29"/>
        <v>R$ 0,00</v>
      </c>
      <c r="I332" t="str">
        <f>"R$ 1.100,00"</f>
        <v>R$ 1.100,00</v>
      </c>
      <c r="J332" t="str">
        <f>"R$ 550,00"</f>
        <v>R$ 550,00</v>
      </c>
      <c r="K332" t="str">
        <f>"R$ 550,00"</f>
        <v>R$ 550,00</v>
      </c>
    </row>
    <row r="333" spans="1:11" x14ac:dyDescent="0.25">
      <c r="A333" t="str">
        <f>"03642712 / 1"</f>
        <v>03642712 / 1</v>
      </c>
      <c r="B333" t="str">
        <f>"Folha Mensal"</f>
        <v>Folha Mensal</v>
      </c>
      <c r="C333" t="str">
        <f>"Danilza Corecha da Silva"</f>
        <v>Danilza Corecha da Silva</v>
      </c>
      <c r="D333" t="str">
        <f>"PENSIONISTA"</f>
        <v>PENSIONISTA</v>
      </c>
      <c r="E333" t="str">
        <f>"Pensionista"</f>
        <v>Pensionista</v>
      </c>
      <c r="F333" t="str">
        <f>"R$ 1.100,00"</f>
        <v>R$ 1.100,00</v>
      </c>
      <c r="G333" t="str">
        <f>"R$ 1.100,00"</f>
        <v>R$ 1.100,00</v>
      </c>
      <c r="H333" t="str">
        <f t="shared" si="29"/>
        <v>R$ 0,00</v>
      </c>
      <c r="I333" t="str">
        <f>"R$ 1.100,00"</f>
        <v>R$ 1.100,00</v>
      </c>
      <c r="J333" t="str">
        <f>"R$ 0,00"</f>
        <v>R$ 0,00</v>
      </c>
      <c r="K333" t="str">
        <f>"R$ 1.100,00"</f>
        <v>R$ 1.100,00</v>
      </c>
    </row>
    <row r="334" spans="1:11" x14ac:dyDescent="0.25">
      <c r="A334" t="str">
        <f>"03641660 / 1"</f>
        <v>03641660 / 1</v>
      </c>
      <c r="B334" t="str">
        <f>"13° Salário Anual"</f>
        <v>13° Salário Anual</v>
      </c>
      <c r="C334" t="str">
        <f>"Danniel Gustavo Pereira"</f>
        <v>Danniel Gustavo Pereira</v>
      </c>
      <c r="D334" t="str">
        <f>"DAS 04"</f>
        <v>DAS 04</v>
      </c>
      <c r="E334" t="str">
        <f>"Comissionado"</f>
        <v>Comissionado</v>
      </c>
      <c r="F334" t="str">
        <f>"R$ 1.685,13"</f>
        <v>R$ 1.685,13</v>
      </c>
      <c r="G334" t="str">
        <f>"R$ 842,56"</f>
        <v>R$ 842,56</v>
      </c>
      <c r="H334" t="str">
        <f t="shared" si="29"/>
        <v>R$ 0,00</v>
      </c>
      <c r="I334" t="str">
        <f>"R$ 842,56"</f>
        <v>R$ 842,56</v>
      </c>
      <c r="J334" t="str">
        <f>"R$ 484,47"</f>
        <v>R$ 484,47</v>
      </c>
      <c r="K334" t="str">
        <f>"R$ 358,09"</f>
        <v>R$ 358,09</v>
      </c>
    </row>
    <row r="335" spans="1:11" x14ac:dyDescent="0.25">
      <c r="A335" t="str">
        <f>"03641660 / 1"</f>
        <v>03641660 / 1</v>
      </c>
      <c r="B335" t="str">
        <f>"Folha Mensal"</f>
        <v>Folha Mensal</v>
      </c>
      <c r="C335" t="str">
        <f>"Danniel Gustavo Pereira"</f>
        <v>Danniel Gustavo Pereira</v>
      </c>
      <c r="D335" t="str">
        <f>"DAS 04"</f>
        <v>DAS 04</v>
      </c>
      <c r="E335" t="str">
        <f>"Comissionado"</f>
        <v>Comissionado</v>
      </c>
      <c r="F335" t="str">
        <f>"R$ 1.685,13"</f>
        <v>R$ 1.685,13</v>
      </c>
      <c r="G335" t="str">
        <f>"R$ 1.685,13"</f>
        <v>R$ 1.685,13</v>
      </c>
      <c r="H335" t="str">
        <f t="shared" si="29"/>
        <v>R$ 0,00</v>
      </c>
      <c r="I335" t="str">
        <f>"R$ 1.685,13"</f>
        <v>R$ 1.685,13</v>
      </c>
      <c r="J335" t="str">
        <f>"R$ 135,16"</f>
        <v>R$ 135,16</v>
      </c>
      <c r="K335" t="str">
        <f>"R$ 1.549,97"</f>
        <v>R$ 1.549,97</v>
      </c>
    </row>
    <row r="336" spans="1:11" x14ac:dyDescent="0.25">
      <c r="A336" t="str">
        <f>"00001481 / 2"</f>
        <v>00001481 / 2</v>
      </c>
      <c r="B336" t="str">
        <f>"13° Salário Anual"</f>
        <v>13° Salário Anual</v>
      </c>
      <c r="C336" t="str">
        <f>"Darci de Nazare de Miranda Pinheiro"</f>
        <v>Darci de Nazare de Miranda Pinheiro</v>
      </c>
      <c r="D336" t="str">
        <f>"PROFESSOR NIVEL I"</f>
        <v>PROFESSOR NIVEL I</v>
      </c>
      <c r="E336" t="str">
        <f>"Efetivo-Inativo I- RJUSM"</f>
        <v>Efetivo-Inativo I- RJUSM</v>
      </c>
      <c r="F336" t="str">
        <f>"R$ 1.039,61"</f>
        <v>R$ 1.039,61</v>
      </c>
      <c r="G336" t="str">
        <f>"R$ 1.351,49"</f>
        <v>R$ 1.351,49</v>
      </c>
      <c r="H336" t="str">
        <f t="shared" si="29"/>
        <v>R$ 0,00</v>
      </c>
      <c r="I336" t="str">
        <f>"R$ 1.351,49"</f>
        <v>R$ 1.351,49</v>
      </c>
      <c r="J336" t="str">
        <f>"R$ 675,74"</f>
        <v>R$ 675,74</v>
      </c>
      <c r="K336" t="str">
        <f>"R$ 675,75"</f>
        <v>R$ 675,75</v>
      </c>
    </row>
    <row r="337" spans="1:11" x14ac:dyDescent="0.25">
      <c r="A337" t="str">
        <f>"00001481 / 2"</f>
        <v>00001481 / 2</v>
      </c>
      <c r="B337" t="str">
        <f>"Folha Mensal"</f>
        <v>Folha Mensal</v>
      </c>
      <c r="C337" t="str">
        <f>"Darci de Nazare de Miranda Pinheiro"</f>
        <v>Darci de Nazare de Miranda Pinheiro</v>
      </c>
      <c r="D337" t="str">
        <f>"PROFESSOR NIVEL I"</f>
        <v>PROFESSOR NIVEL I</v>
      </c>
      <c r="E337" t="str">
        <f>"Efetivo-Inativo I- RJUSM"</f>
        <v>Efetivo-Inativo I- RJUSM</v>
      </c>
      <c r="F337" t="str">
        <f>"R$ 1.039,61"</f>
        <v>R$ 1.039,61</v>
      </c>
      <c r="G337" t="str">
        <f>"R$ 1.351,49"</f>
        <v>R$ 1.351,49</v>
      </c>
      <c r="H337" t="str">
        <f t="shared" si="29"/>
        <v>R$ 0,00</v>
      </c>
      <c r="I337" t="str">
        <f>"R$ 1.351,49"</f>
        <v>R$ 1.351,49</v>
      </c>
      <c r="J337" t="str">
        <f>"R$ 472,88"</f>
        <v>R$ 472,88</v>
      </c>
      <c r="K337" t="str">
        <f>"R$ 878,61"</f>
        <v>R$ 878,61</v>
      </c>
    </row>
    <row r="338" spans="1:11" x14ac:dyDescent="0.25">
      <c r="A338" t="str">
        <f>"03640949 / 1"</f>
        <v>03640949 / 1</v>
      </c>
      <c r="B338" t="str">
        <f>"13° Salário Anual"</f>
        <v>13° Salário Anual</v>
      </c>
      <c r="C338" t="str">
        <f>"Darcio Ruffeil do Carmo"</f>
        <v>Darcio Ruffeil do Carmo</v>
      </c>
      <c r="D338" t="str">
        <f>"DAS 06"</f>
        <v>DAS 06</v>
      </c>
      <c r="E338" t="str">
        <f>"Comissionado"</f>
        <v>Comissionado</v>
      </c>
      <c r="F338" t="str">
        <f>"R$ 2.427,00"</f>
        <v>R$ 2.427,00</v>
      </c>
      <c r="G338" t="str">
        <f>"R$ 2.022,50"</f>
        <v>R$ 2.022,50</v>
      </c>
      <c r="H338" t="str">
        <f t="shared" si="29"/>
        <v>R$ 0,00</v>
      </c>
      <c r="I338" t="str">
        <f>"R$ 2.022,50"</f>
        <v>R$ 2.022,50</v>
      </c>
      <c r="J338" t="str">
        <f>"R$ 1.176,77"</f>
        <v>R$ 1.176,77</v>
      </c>
      <c r="K338" t="str">
        <f>"R$ 845,73"</f>
        <v>R$ 845,73</v>
      </c>
    </row>
    <row r="339" spans="1:11" x14ac:dyDescent="0.25">
      <c r="A339" t="str">
        <f>"03640949 / 1"</f>
        <v>03640949 / 1</v>
      </c>
      <c r="B339" t="str">
        <f>"Folha Mensal"</f>
        <v>Folha Mensal</v>
      </c>
      <c r="C339" t="str">
        <f>"Darcio Ruffeil do Carmo"</f>
        <v>Darcio Ruffeil do Carmo</v>
      </c>
      <c r="D339" t="str">
        <f>"DAS 06"</f>
        <v>DAS 06</v>
      </c>
      <c r="E339" t="str">
        <f>"Comissionado"</f>
        <v>Comissionado</v>
      </c>
      <c r="F339" t="str">
        <f>"R$ 2.427,00"</f>
        <v>R$ 2.427,00</v>
      </c>
      <c r="G339" t="str">
        <f>"R$ 2.427,00"</f>
        <v>R$ 2.427,00</v>
      </c>
      <c r="H339" t="str">
        <f t="shared" si="29"/>
        <v>R$ 0,00</v>
      </c>
      <c r="I339" t="str">
        <f>"R$ 2.427,00"</f>
        <v>R$ 2.427,00</v>
      </c>
      <c r="J339" t="str">
        <f>"R$ 232,20"</f>
        <v>R$ 232,20</v>
      </c>
      <c r="K339" t="str">
        <f>"R$ 2.194,80"</f>
        <v>R$ 2.194,80</v>
      </c>
    </row>
    <row r="340" spans="1:11" x14ac:dyDescent="0.25">
      <c r="A340" t="str">
        <f>"00001830 / 2"</f>
        <v>00001830 / 2</v>
      </c>
      <c r="B340" t="str">
        <f>"13° Salário Anual"</f>
        <v>13° Salário Anual</v>
      </c>
      <c r="C340" t="str">
        <f>"Darcy Antonia de Souza Teixeira"</f>
        <v>Darcy Antonia de Souza Teixeira</v>
      </c>
      <c r="D340" t="str">
        <f>"PROFESSOR NIVEL I"</f>
        <v>PROFESSOR NIVEL I</v>
      </c>
      <c r="E340" t="str">
        <f>"Efetivo-Inativo I- RJUSM"</f>
        <v>Efetivo-Inativo I- RJUSM</v>
      </c>
      <c r="F340" t="str">
        <f>"R$ 2.390,21"</f>
        <v>R$ 2.390,21</v>
      </c>
      <c r="G340" t="str">
        <f>"R$ 3.107,27"</f>
        <v>R$ 3.107,27</v>
      </c>
      <c r="H340" t="str">
        <f t="shared" si="29"/>
        <v>R$ 0,00</v>
      </c>
      <c r="I340" t="str">
        <f>"R$ 3.107,27"</f>
        <v>R$ 3.107,27</v>
      </c>
      <c r="J340" t="str">
        <f>"R$ 1.664,92"</f>
        <v>R$ 1.664,92</v>
      </c>
      <c r="K340" t="str">
        <f>"R$ 1.442,35"</f>
        <v>R$ 1.442,35</v>
      </c>
    </row>
    <row r="341" spans="1:11" x14ac:dyDescent="0.25">
      <c r="A341" t="str">
        <f>"00001830 / 2"</f>
        <v>00001830 / 2</v>
      </c>
      <c r="B341" t="str">
        <f>"Folha Mensal"</f>
        <v>Folha Mensal</v>
      </c>
      <c r="C341" t="str">
        <f>"Darcy Antonia de Souza Teixeira"</f>
        <v>Darcy Antonia de Souza Teixeira</v>
      </c>
      <c r="D341" t="str">
        <f>"PROFESSOR NIVEL I"</f>
        <v>PROFESSOR NIVEL I</v>
      </c>
      <c r="E341" t="str">
        <f>"Efetivo-Inativo I- RJUSM"</f>
        <v>Efetivo-Inativo I- RJUSM</v>
      </c>
      <c r="F341" t="str">
        <f>"R$ 2.390,21"</f>
        <v>R$ 2.390,21</v>
      </c>
      <c r="G341" t="str">
        <f>"R$ 3.107,27"</f>
        <v>R$ 3.107,27</v>
      </c>
      <c r="H341" t="str">
        <f t="shared" si="29"/>
        <v>R$ 0,00</v>
      </c>
      <c r="I341" t="str">
        <f>"R$ 3.107,27"</f>
        <v>R$ 3.107,27</v>
      </c>
      <c r="J341" t="str">
        <f>"R$ 1.140,71"</f>
        <v>R$ 1.140,71</v>
      </c>
      <c r="K341" t="str">
        <f>"R$ 1.966,56"</f>
        <v>R$ 1.966,56</v>
      </c>
    </row>
    <row r="342" spans="1:11" x14ac:dyDescent="0.25">
      <c r="A342" t="str">
        <f>"00000450 / 1"</f>
        <v>00000450 / 1</v>
      </c>
      <c r="B342" t="str">
        <f>"13° Salário Anual"</f>
        <v>13° Salário Anual</v>
      </c>
      <c r="C342" t="str">
        <f>"Daria Ramos Barata"</f>
        <v>Daria Ramos Barata</v>
      </c>
      <c r="D342" t="str">
        <f>"INT TEMP CONTRIBUICAO"</f>
        <v>INT TEMP CONTRIBUICAO</v>
      </c>
      <c r="E342" t="str">
        <f>"Efetivo-Inativo I- RJUSM"</f>
        <v>Efetivo-Inativo I- RJUSM</v>
      </c>
      <c r="F342" t="str">
        <f t="shared" ref="F342:F347" si="30">"R$ 1.100,00"</f>
        <v>R$ 1.100,00</v>
      </c>
      <c r="G342" t="str">
        <f>"R$ 1.430,00"</f>
        <v>R$ 1.430,00</v>
      </c>
      <c r="H342" t="str">
        <f t="shared" si="29"/>
        <v>R$ 0,00</v>
      </c>
      <c r="I342" t="str">
        <f>"R$ 1.430,00"</f>
        <v>R$ 1.430,00</v>
      </c>
      <c r="J342" t="str">
        <f>"R$ 715,00"</f>
        <v>R$ 715,00</v>
      </c>
      <c r="K342" t="str">
        <f>"R$ 715,00"</f>
        <v>R$ 715,00</v>
      </c>
    </row>
    <row r="343" spans="1:11" x14ac:dyDescent="0.25">
      <c r="A343" t="str">
        <f>"00000450 / 1"</f>
        <v>00000450 / 1</v>
      </c>
      <c r="B343" t="str">
        <f>"Folha Mensal"</f>
        <v>Folha Mensal</v>
      </c>
      <c r="C343" t="str">
        <f>"Daria Ramos Barata"</f>
        <v>Daria Ramos Barata</v>
      </c>
      <c r="D343" t="str">
        <f>"INT TEMP CONTRIBUICAO"</f>
        <v>INT TEMP CONTRIBUICAO</v>
      </c>
      <c r="E343" t="str">
        <f>"Efetivo-Inativo I- RJUSM"</f>
        <v>Efetivo-Inativo I- RJUSM</v>
      </c>
      <c r="F343" t="str">
        <f t="shared" si="30"/>
        <v>R$ 1.100,00</v>
      </c>
      <c r="G343" t="str">
        <f>"R$ 1.430,00"</f>
        <v>R$ 1.430,00</v>
      </c>
      <c r="H343" t="str">
        <f t="shared" si="29"/>
        <v>R$ 0,00</v>
      </c>
      <c r="I343" t="str">
        <f>"R$ 1.430,00"</f>
        <v>R$ 1.430,00</v>
      </c>
      <c r="J343" t="str">
        <f>"R$ 116,24"</f>
        <v>R$ 116,24</v>
      </c>
      <c r="K343" t="str">
        <f>"R$ 1.313,76"</f>
        <v>R$ 1.313,76</v>
      </c>
    </row>
    <row r="344" spans="1:11" x14ac:dyDescent="0.25">
      <c r="A344" t="str">
        <f>"03642720 / 1"</f>
        <v>03642720 / 1</v>
      </c>
      <c r="B344" t="str">
        <f>"13° Salário Anual"</f>
        <v>13° Salário Anual</v>
      </c>
      <c r="C344" t="str">
        <f>"Dario Carvalho da Silva"</f>
        <v>Dario Carvalho da Silva</v>
      </c>
      <c r="D344" t="str">
        <f>"PENSIONISTA"</f>
        <v>PENSIONISTA</v>
      </c>
      <c r="E344" t="str">
        <f>"Pensionista"</f>
        <v>Pensionista</v>
      </c>
      <c r="F344" t="str">
        <f t="shared" si="30"/>
        <v>R$ 1.100,00</v>
      </c>
      <c r="G344" t="str">
        <f>"R$ 1.100,00"</f>
        <v>R$ 1.100,00</v>
      </c>
      <c r="H344" t="str">
        <f t="shared" si="29"/>
        <v>R$ 0,00</v>
      </c>
      <c r="I344" t="str">
        <f>"R$ 1.100,00"</f>
        <v>R$ 1.100,00</v>
      </c>
      <c r="J344" t="str">
        <f>"R$ 550,00"</f>
        <v>R$ 550,00</v>
      </c>
      <c r="K344" t="str">
        <f>"R$ 550,00"</f>
        <v>R$ 550,00</v>
      </c>
    </row>
    <row r="345" spans="1:11" x14ac:dyDescent="0.25">
      <c r="A345" t="str">
        <f>"03642720 / 1"</f>
        <v>03642720 / 1</v>
      </c>
      <c r="B345" t="str">
        <f>"Folha Mensal"</f>
        <v>Folha Mensal</v>
      </c>
      <c r="C345" t="str">
        <f>"Dario Carvalho da Silva"</f>
        <v>Dario Carvalho da Silva</v>
      </c>
      <c r="D345" t="str">
        <f>"PENSIONISTA"</f>
        <v>PENSIONISTA</v>
      </c>
      <c r="E345" t="str">
        <f>"Pensionista"</f>
        <v>Pensionista</v>
      </c>
      <c r="F345" t="str">
        <f t="shared" si="30"/>
        <v>R$ 1.100,00</v>
      </c>
      <c r="G345" t="str">
        <f>"R$ 1.100,00"</f>
        <v>R$ 1.100,00</v>
      </c>
      <c r="H345" t="str">
        <f t="shared" si="29"/>
        <v>R$ 0,00</v>
      </c>
      <c r="I345" t="str">
        <f>"R$ 1.100,00"</f>
        <v>R$ 1.100,00</v>
      </c>
      <c r="J345" t="str">
        <f>"R$ 329,58"</f>
        <v>R$ 329,58</v>
      </c>
      <c r="K345" t="str">
        <f>"R$ 770,42"</f>
        <v>R$ 770,42</v>
      </c>
    </row>
    <row r="346" spans="1:11" x14ac:dyDescent="0.25">
      <c r="A346" t="str">
        <f>"03642739 / 1"</f>
        <v>03642739 / 1</v>
      </c>
      <c r="B346" t="str">
        <f>"13° Salário Anual"</f>
        <v>13° Salário Anual</v>
      </c>
      <c r="C346" t="str">
        <f>"Darsone Bezerra do Carmo"</f>
        <v>Darsone Bezerra do Carmo</v>
      </c>
      <c r="D346" t="str">
        <f>"PENSIONISTA"</f>
        <v>PENSIONISTA</v>
      </c>
      <c r="E346" t="str">
        <f>"Pensionista"</f>
        <v>Pensionista</v>
      </c>
      <c r="F346" t="str">
        <f t="shared" si="30"/>
        <v>R$ 1.100,00</v>
      </c>
      <c r="G346" t="str">
        <f>"R$ 1.100,00"</f>
        <v>R$ 1.100,00</v>
      </c>
      <c r="H346" t="str">
        <f t="shared" si="29"/>
        <v>R$ 0,00</v>
      </c>
      <c r="I346" t="str">
        <f>"R$ 1.100,00"</f>
        <v>R$ 1.100,00</v>
      </c>
      <c r="J346" t="str">
        <f>"R$ 550,00"</f>
        <v>R$ 550,00</v>
      </c>
      <c r="K346" t="str">
        <f>"R$ 550,00"</f>
        <v>R$ 550,00</v>
      </c>
    </row>
    <row r="347" spans="1:11" x14ac:dyDescent="0.25">
      <c r="A347" t="str">
        <f>"03642739 / 1"</f>
        <v>03642739 / 1</v>
      </c>
      <c r="B347" t="str">
        <f>"Folha Mensal"</f>
        <v>Folha Mensal</v>
      </c>
      <c r="C347" t="str">
        <f>"Darsone Bezerra do Carmo"</f>
        <v>Darsone Bezerra do Carmo</v>
      </c>
      <c r="D347" t="str">
        <f>"PENSIONISTA"</f>
        <v>PENSIONISTA</v>
      </c>
      <c r="E347" t="str">
        <f>"Pensionista"</f>
        <v>Pensionista</v>
      </c>
      <c r="F347" t="str">
        <f t="shared" si="30"/>
        <v>R$ 1.100,00</v>
      </c>
      <c r="G347" t="str">
        <f>"R$ 1.100,00"</f>
        <v>R$ 1.100,00</v>
      </c>
      <c r="H347" t="str">
        <f t="shared" si="29"/>
        <v>R$ 0,00</v>
      </c>
      <c r="I347" t="str">
        <f>"R$ 1.100,00"</f>
        <v>R$ 1.100,00</v>
      </c>
      <c r="J347" t="str">
        <f>"R$ 159,36"</f>
        <v>R$ 159,36</v>
      </c>
      <c r="K347" t="str">
        <f>"R$ 940,64"</f>
        <v>R$ 940,64</v>
      </c>
    </row>
    <row r="348" spans="1:11" x14ac:dyDescent="0.25">
      <c r="A348" t="str">
        <f>"03641805 / 1"</f>
        <v>03641805 / 1</v>
      </c>
      <c r="B348" t="str">
        <f>"13° Salário Anual"</f>
        <v>13° Salário Anual</v>
      </c>
      <c r="C348" t="str">
        <f>"Davi Santos Pinheiro"</f>
        <v>Davi Santos Pinheiro</v>
      </c>
      <c r="D348" t="str">
        <f>"DAS 04"</f>
        <v>DAS 04</v>
      </c>
      <c r="E348" t="str">
        <f>"Comissionado"</f>
        <v>Comissionado</v>
      </c>
      <c r="F348" t="str">
        <f>"R$ 1.685,13"</f>
        <v>R$ 1.685,13</v>
      </c>
      <c r="G348" t="str">
        <f>"R$ 1.685,13"</f>
        <v>R$ 1.685,13</v>
      </c>
      <c r="H348" t="str">
        <f t="shared" si="29"/>
        <v>R$ 0,00</v>
      </c>
      <c r="I348" t="str">
        <f>"R$ 1.685,13"</f>
        <v>R$ 1.685,13</v>
      </c>
      <c r="J348" t="str">
        <f>"R$ 977,72"</f>
        <v>R$ 977,72</v>
      </c>
      <c r="K348" t="str">
        <f>"R$ 707,41"</f>
        <v>R$ 707,41</v>
      </c>
    </row>
    <row r="349" spans="1:11" x14ac:dyDescent="0.25">
      <c r="A349" t="str">
        <f>"03641805 / 1"</f>
        <v>03641805 / 1</v>
      </c>
      <c r="B349" t="str">
        <f>"Folha Mensal"</f>
        <v>Folha Mensal</v>
      </c>
      <c r="C349" t="str">
        <f>"Davi Santos Pinheiro"</f>
        <v>Davi Santos Pinheiro</v>
      </c>
      <c r="D349" t="str">
        <f>"DAS 04"</f>
        <v>DAS 04</v>
      </c>
      <c r="E349" t="str">
        <f>"Comissionado"</f>
        <v>Comissionado</v>
      </c>
      <c r="F349" t="str">
        <f>"R$ 1.685,13"</f>
        <v>R$ 1.685,13</v>
      </c>
      <c r="G349" t="str">
        <f>"R$ 1.685,13"</f>
        <v>R$ 1.685,13</v>
      </c>
      <c r="H349" t="str">
        <f>"R$ 288,00"</f>
        <v>R$ 288,00</v>
      </c>
      <c r="I349" t="str">
        <f>"R$ 1.973,13"</f>
        <v>R$ 1.973,13</v>
      </c>
      <c r="J349" t="str">
        <f>"R$ 236,26"</f>
        <v>R$ 236,26</v>
      </c>
      <c r="K349" t="str">
        <f>"R$ 1.736,87"</f>
        <v>R$ 1.736,87</v>
      </c>
    </row>
    <row r="350" spans="1:11" x14ac:dyDescent="0.25">
      <c r="A350" t="str">
        <f>"00026018 / 1"</f>
        <v>00026018 / 1</v>
      </c>
      <c r="B350" t="str">
        <f>"13° Salário Anual"</f>
        <v>13° Salário Anual</v>
      </c>
      <c r="C350" t="str">
        <f>"Dayse Menezes de Souza"</f>
        <v>Dayse Menezes de Souza</v>
      </c>
      <c r="D350" t="str">
        <f>"PROFESSOR NIVEL III"</f>
        <v>PROFESSOR NIVEL III</v>
      </c>
      <c r="E350" t="str">
        <f>"Efetivo-Inativos II-RJUSM"</f>
        <v>Efetivo-Inativos II-RJUSM</v>
      </c>
      <c r="F350" t="str">
        <f>"R$ 5.045,98"</f>
        <v>R$ 5.045,98</v>
      </c>
      <c r="G350" t="str">
        <f>"R$ 6.559,77"</f>
        <v>R$ 6.559,77</v>
      </c>
      <c r="H350" t="str">
        <f t="shared" ref="H350:H381" si="31">"R$ 0,00"</f>
        <v>R$ 0,00</v>
      </c>
      <c r="I350" t="str">
        <f>"R$ 6.559,77"</f>
        <v>R$ 6.559,77</v>
      </c>
      <c r="J350" t="str">
        <f>"R$ 4.208,87"</f>
        <v>R$ 4.208,87</v>
      </c>
      <c r="K350" t="str">
        <f>"R$ 2.350,90"</f>
        <v>R$ 2.350,90</v>
      </c>
    </row>
    <row r="351" spans="1:11" x14ac:dyDescent="0.25">
      <c r="A351" t="str">
        <f>"00026018 / 1"</f>
        <v>00026018 / 1</v>
      </c>
      <c r="B351" t="str">
        <f>"Folha Mensal"</f>
        <v>Folha Mensal</v>
      </c>
      <c r="C351" t="str">
        <f>"Dayse Menezes de Souza"</f>
        <v>Dayse Menezes de Souza</v>
      </c>
      <c r="D351" t="str">
        <f>"PROFESSOR NIVEL III"</f>
        <v>PROFESSOR NIVEL III</v>
      </c>
      <c r="E351" t="str">
        <f>"Efetivo-Inativos II-RJUSM"</f>
        <v>Efetivo-Inativos II-RJUSM</v>
      </c>
      <c r="F351" t="str">
        <f>"R$ 5.045,98"</f>
        <v>R$ 5.045,98</v>
      </c>
      <c r="G351" t="str">
        <f>"R$ 6.559,77"</f>
        <v>R$ 6.559,77</v>
      </c>
      <c r="H351" t="str">
        <f t="shared" si="31"/>
        <v>R$ 0,00</v>
      </c>
      <c r="I351" t="str">
        <f>"R$ 6.559,77"</f>
        <v>R$ 6.559,77</v>
      </c>
      <c r="J351" t="str">
        <f>"R$ 2.422,53"</f>
        <v>R$ 2.422,53</v>
      </c>
      <c r="K351" t="str">
        <f>"R$ 4.137,24"</f>
        <v>R$ 4.137,24</v>
      </c>
    </row>
    <row r="352" spans="1:11" x14ac:dyDescent="0.25">
      <c r="A352" t="str">
        <f>"03641040 / 1"</f>
        <v>03641040 / 1</v>
      </c>
      <c r="B352" t="str">
        <f>"13° Salário Anual"</f>
        <v>13° Salário Anual</v>
      </c>
      <c r="C352" t="str">
        <f>"Deivid Augusto Carvalho dos Santos"</f>
        <v>Deivid Augusto Carvalho dos Santos</v>
      </c>
      <c r="D352" t="str">
        <f>"DAS 08"</f>
        <v>DAS 08</v>
      </c>
      <c r="E352" t="str">
        <f>"Comissionado"</f>
        <v>Comissionado</v>
      </c>
      <c r="F352" t="str">
        <f>"R$ 4.200,00"</f>
        <v>R$ 4.200,00</v>
      </c>
      <c r="G352" t="str">
        <f>"R$ 3.500,00"</f>
        <v>R$ 3.500,00</v>
      </c>
      <c r="H352" t="str">
        <f t="shared" si="31"/>
        <v>R$ 0,00</v>
      </c>
      <c r="I352" t="str">
        <f>"R$ 3.500,00"</f>
        <v>R$ 3.500,00</v>
      </c>
      <c r="J352" t="str">
        <f>"R$ 2.181,84"</f>
        <v>R$ 2.181,84</v>
      </c>
      <c r="K352" t="str">
        <f>"R$ 1.318,16"</f>
        <v>R$ 1.318,16</v>
      </c>
    </row>
    <row r="353" spans="1:11" x14ac:dyDescent="0.25">
      <c r="A353" t="str">
        <f>"03641040 / 1"</f>
        <v>03641040 / 1</v>
      </c>
      <c r="B353" t="str">
        <f>"Folha Mensal"</f>
        <v>Folha Mensal</v>
      </c>
      <c r="C353" t="str">
        <f>"Deivid Augusto Carvalho dos Santos"</f>
        <v>Deivid Augusto Carvalho dos Santos</v>
      </c>
      <c r="D353" t="str">
        <f>"DAS 08"</f>
        <v>DAS 08</v>
      </c>
      <c r="E353" t="str">
        <f>"Comissionado"</f>
        <v>Comissionado</v>
      </c>
      <c r="F353" t="str">
        <f>"R$ 4.200,00"</f>
        <v>R$ 4.200,00</v>
      </c>
      <c r="G353" t="str">
        <f>"R$ 4.200,00"</f>
        <v>R$ 4.200,00</v>
      </c>
      <c r="H353" t="str">
        <f t="shared" si="31"/>
        <v>R$ 0,00</v>
      </c>
      <c r="I353" t="str">
        <f>"R$ 4.200,00"</f>
        <v>R$ 4.200,00</v>
      </c>
      <c r="J353" t="str">
        <f>"R$ 620,14"</f>
        <v>R$ 620,14</v>
      </c>
      <c r="K353" t="str">
        <f>"R$ 3.579,86"</f>
        <v>R$ 3.579,86</v>
      </c>
    </row>
    <row r="354" spans="1:11" x14ac:dyDescent="0.25">
      <c r="A354" t="str">
        <f>"00264156 / 1"</f>
        <v>00264156 / 1</v>
      </c>
      <c r="B354" t="str">
        <f>"13° Salário Anual"</f>
        <v>13° Salário Anual</v>
      </c>
      <c r="C354" t="str">
        <f>"Delcia de Nazare Figueiredo Cardoso"</f>
        <v>Delcia de Nazare Figueiredo Cardoso</v>
      </c>
      <c r="D354" t="str">
        <f>"AG COMUNIT DE SAUDE"</f>
        <v>AG COMUNIT DE SAUDE</v>
      </c>
      <c r="E354" t="str">
        <f>"Efetivo-Inativos II-RJUSM"</f>
        <v>Efetivo-Inativos II-RJUSM</v>
      </c>
      <c r="F354" t="str">
        <f>"R$ 1.550,00"</f>
        <v>R$ 1.550,00</v>
      </c>
      <c r="G354" t="str">
        <f>"R$ 1.627,50"</f>
        <v>R$ 1.627,50</v>
      </c>
      <c r="H354" t="str">
        <f t="shared" si="31"/>
        <v>R$ 0,00</v>
      </c>
      <c r="I354" t="str">
        <f>"R$ 1.627,50"</f>
        <v>R$ 1.627,50</v>
      </c>
      <c r="J354" t="str">
        <f>"R$ 813,75"</f>
        <v>R$ 813,75</v>
      </c>
      <c r="K354" t="str">
        <f>"R$ 813,75"</f>
        <v>R$ 813,75</v>
      </c>
    </row>
    <row r="355" spans="1:11" x14ac:dyDescent="0.25">
      <c r="A355" t="str">
        <f>"00264156 / 1"</f>
        <v>00264156 / 1</v>
      </c>
      <c r="B355" t="str">
        <f>"Folha Mensal"</f>
        <v>Folha Mensal</v>
      </c>
      <c r="C355" t="str">
        <f>"Delcia de Nazare Figueiredo Cardoso"</f>
        <v>Delcia de Nazare Figueiredo Cardoso</v>
      </c>
      <c r="D355" t="str">
        <f>"AG COMUNIT DE SAUDE"</f>
        <v>AG COMUNIT DE SAUDE</v>
      </c>
      <c r="E355" t="str">
        <f>"Efetivo-Inativos II-RJUSM"</f>
        <v>Efetivo-Inativos II-RJUSM</v>
      </c>
      <c r="F355" t="str">
        <f>"R$ 1.550,00"</f>
        <v>R$ 1.550,00</v>
      </c>
      <c r="G355" t="str">
        <f>"R$ 1.627,50"</f>
        <v>R$ 1.627,50</v>
      </c>
      <c r="H355" t="str">
        <f t="shared" si="31"/>
        <v>R$ 0,00</v>
      </c>
      <c r="I355" t="str">
        <f>"R$ 1.627,50"</f>
        <v>R$ 1.627,50</v>
      </c>
      <c r="J355" t="str">
        <f>"R$ 0,00"</f>
        <v>R$ 0,00</v>
      </c>
      <c r="K355" t="str">
        <f>"R$ 1.627,50"</f>
        <v>R$ 1.627,50</v>
      </c>
    </row>
    <row r="356" spans="1:11" x14ac:dyDescent="0.25">
      <c r="A356" t="str">
        <f>"03642445 / 1"</f>
        <v>03642445 / 1</v>
      </c>
      <c r="B356" t="str">
        <f>"13° Salário Anual"</f>
        <v>13° Salário Anual</v>
      </c>
      <c r="C356" t="str">
        <f>"Delde Faro Lobessa"</f>
        <v>Delde Faro Lobessa</v>
      </c>
      <c r="D356" t="str">
        <f>"INT TEMP CONTRIBUICAO"</f>
        <v>INT TEMP CONTRIBUICAO</v>
      </c>
      <c r="E356" t="str">
        <f t="shared" ref="E356:E367" si="32">"Efetivo-Inativo I- RJUSM"</f>
        <v>Efetivo-Inativo I- RJUSM</v>
      </c>
      <c r="F356" t="str">
        <f>"R$ 1.798,64"</f>
        <v>R$ 1.798,64</v>
      </c>
      <c r="G356" t="str">
        <f>"R$ 2.158,36"</f>
        <v>R$ 2.158,36</v>
      </c>
      <c r="H356" t="str">
        <f t="shared" si="31"/>
        <v>R$ 0,00</v>
      </c>
      <c r="I356" t="str">
        <f>"R$ 2.158,36"</f>
        <v>R$ 2.158,36</v>
      </c>
      <c r="J356" t="str">
        <f>"R$ 1.079,18"</f>
        <v>R$ 1.079,18</v>
      </c>
      <c r="K356" t="str">
        <f>"R$ 1.079,18"</f>
        <v>R$ 1.079,18</v>
      </c>
    </row>
    <row r="357" spans="1:11" x14ac:dyDescent="0.25">
      <c r="A357" t="str">
        <f>"03642445 / 1"</f>
        <v>03642445 / 1</v>
      </c>
      <c r="B357" t="str">
        <f>"Folha Mensal"</f>
        <v>Folha Mensal</v>
      </c>
      <c r="C357" t="str">
        <f>"Delde Faro Lobessa"</f>
        <v>Delde Faro Lobessa</v>
      </c>
      <c r="D357" t="str">
        <f>"INT TEMP CONTRIBUICAO"</f>
        <v>INT TEMP CONTRIBUICAO</v>
      </c>
      <c r="E357" t="str">
        <f t="shared" si="32"/>
        <v>Efetivo-Inativo I- RJUSM</v>
      </c>
      <c r="F357" t="str">
        <f>"R$ 1.798,64"</f>
        <v>R$ 1.798,64</v>
      </c>
      <c r="G357" t="str">
        <f>"R$ 2.158,36"</f>
        <v>R$ 2.158,36</v>
      </c>
      <c r="H357" t="str">
        <f t="shared" si="31"/>
        <v>R$ 0,00</v>
      </c>
      <c r="I357" t="str">
        <f>"R$ 2.158,36"</f>
        <v>R$ 2.158,36</v>
      </c>
      <c r="J357" t="str">
        <f>"R$ 607,90"</f>
        <v>R$ 607,90</v>
      </c>
      <c r="K357" t="str">
        <f>"R$ 1.550,46"</f>
        <v>R$ 1.550,46</v>
      </c>
    </row>
    <row r="358" spans="1:11" x14ac:dyDescent="0.25">
      <c r="A358" t="str">
        <f>"00011100 / 1"</f>
        <v>00011100 / 1</v>
      </c>
      <c r="B358" t="str">
        <f>"13° Salário Anual"</f>
        <v>13° Salário Anual</v>
      </c>
      <c r="C358" t="str">
        <f>"Delmacy Antonia dos Santos Carneiro"</f>
        <v>Delmacy Antonia dos Santos Carneiro</v>
      </c>
      <c r="D358" t="str">
        <f>"PROP IDADE"</f>
        <v>PROP IDADE</v>
      </c>
      <c r="E358" t="str">
        <f t="shared" si="32"/>
        <v>Efetivo-Inativo I- RJUSM</v>
      </c>
      <c r="F358" t="str">
        <f>"R$ 952,71"</f>
        <v>R$ 952,71</v>
      </c>
      <c r="G358" t="str">
        <f>"R$ 1.100,00"</f>
        <v>R$ 1.100,00</v>
      </c>
      <c r="H358" t="str">
        <f t="shared" si="31"/>
        <v>R$ 0,00</v>
      </c>
      <c r="I358" t="str">
        <f>"R$ 1.100,00"</f>
        <v>R$ 1.100,00</v>
      </c>
      <c r="J358" t="str">
        <f>"R$ 550,00"</f>
        <v>R$ 550,00</v>
      </c>
      <c r="K358" t="str">
        <f>"R$ 550,00"</f>
        <v>R$ 550,00</v>
      </c>
    </row>
    <row r="359" spans="1:11" x14ac:dyDescent="0.25">
      <c r="A359" t="str">
        <f>"00011100 / 1"</f>
        <v>00011100 / 1</v>
      </c>
      <c r="B359" t="str">
        <f>"Folha Mensal"</f>
        <v>Folha Mensal</v>
      </c>
      <c r="C359" t="str">
        <f>"Delmacy Antonia dos Santos Carneiro"</f>
        <v>Delmacy Antonia dos Santos Carneiro</v>
      </c>
      <c r="D359" t="str">
        <f>"PROP IDADE"</f>
        <v>PROP IDADE</v>
      </c>
      <c r="E359" t="str">
        <f t="shared" si="32"/>
        <v>Efetivo-Inativo I- RJUSM</v>
      </c>
      <c r="F359" t="str">
        <f>"R$ 952,71"</f>
        <v>R$ 952,71</v>
      </c>
      <c r="G359" t="str">
        <f>"R$ 1.100,00"</f>
        <v>R$ 1.100,00</v>
      </c>
      <c r="H359" t="str">
        <f t="shared" si="31"/>
        <v>R$ 0,00</v>
      </c>
      <c r="I359" t="str">
        <f>"R$ 1.100,00"</f>
        <v>R$ 1.100,00</v>
      </c>
      <c r="J359" t="str">
        <f>"R$ 0,00"</f>
        <v>R$ 0,00</v>
      </c>
      <c r="K359" t="str">
        <f>"R$ 1.100,00"</f>
        <v>R$ 1.100,00</v>
      </c>
    </row>
    <row r="360" spans="1:11" x14ac:dyDescent="0.25">
      <c r="A360" t="str">
        <f>"00033340 / 2"</f>
        <v>00033340 / 2</v>
      </c>
      <c r="B360" t="str">
        <f>"13° Salário Anual"</f>
        <v>13° Salário Anual</v>
      </c>
      <c r="C360" t="str">
        <f>"Delzuite Sarmento Furtado de Mendonça"</f>
        <v>Delzuite Sarmento Furtado de Mendonça</v>
      </c>
      <c r="D360" t="str">
        <f>"INT TEMP CONTRIBUICAO"</f>
        <v>INT TEMP CONTRIBUICAO</v>
      </c>
      <c r="E360" t="str">
        <f t="shared" si="32"/>
        <v>Efetivo-Inativo I- RJUSM</v>
      </c>
      <c r="F360" t="str">
        <f>"R$ 1.100,00"</f>
        <v>R$ 1.100,00</v>
      </c>
      <c r="G360" t="str">
        <f>"R$ 1.430,00"</f>
        <v>R$ 1.430,00</v>
      </c>
      <c r="H360" t="str">
        <f t="shared" si="31"/>
        <v>R$ 0,00</v>
      </c>
      <c r="I360" t="str">
        <f>"R$ 1.430,00"</f>
        <v>R$ 1.430,00</v>
      </c>
      <c r="J360" t="str">
        <f>"R$ 715,00"</f>
        <v>R$ 715,00</v>
      </c>
      <c r="K360" t="str">
        <f>"R$ 715,00"</f>
        <v>R$ 715,00</v>
      </c>
    </row>
    <row r="361" spans="1:11" x14ac:dyDescent="0.25">
      <c r="A361" t="str">
        <f>"00033340 / 2"</f>
        <v>00033340 / 2</v>
      </c>
      <c r="B361" t="str">
        <f>"Folha Mensal"</f>
        <v>Folha Mensal</v>
      </c>
      <c r="C361" t="str">
        <f>"Delzuite Sarmento Furtado de Mendonça"</f>
        <v>Delzuite Sarmento Furtado de Mendonça</v>
      </c>
      <c r="D361" t="str">
        <f>"INT TEMP CONTRIBUICAO"</f>
        <v>INT TEMP CONTRIBUICAO</v>
      </c>
      <c r="E361" t="str">
        <f t="shared" si="32"/>
        <v>Efetivo-Inativo I- RJUSM</v>
      </c>
      <c r="F361" t="str">
        <f>"R$ 1.100,00"</f>
        <v>R$ 1.100,00</v>
      </c>
      <c r="G361" t="str">
        <f>"R$ 1.430,00"</f>
        <v>R$ 1.430,00</v>
      </c>
      <c r="H361" t="str">
        <f t="shared" si="31"/>
        <v>R$ 0,00</v>
      </c>
      <c r="I361" t="str">
        <f>"R$ 1.430,00"</f>
        <v>R$ 1.430,00</v>
      </c>
      <c r="J361" t="str">
        <f>"R$ 0,00"</f>
        <v>R$ 0,00</v>
      </c>
      <c r="K361" t="str">
        <f>"R$ 1.430,00"</f>
        <v>R$ 1.430,00</v>
      </c>
    </row>
    <row r="362" spans="1:11" x14ac:dyDescent="0.25">
      <c r="A362" t="str">
        <f>"00005070 / 1"</f>
        <v>00005070 / 1</v>
      </c>
      <c r="B362" t="str">
        <f>"13° Salário Anual"</f>
        <v>13° Salário Anual</v>
      </c>
      <c r="C362" t="str">
        <f>"Denise Conceicao de Souza Teixeira"</f>
        <v>Denise Conceicao de Souza Teixeira</v>
      </c>
      <c r="D362" t="str">
        <f>"PROFESSOR"</f>
        <v>PROFESSOR</v>
      </c>
      <c r="E362" t="str">
        <f t="shared" si="32"/>
        <v>Efetivo-Inativo I- RJUSM</v>
      </c>
      <c r="F362" t="str">
        <f>"R$ 1.673,12"</f>
        <v>R$ 1.673,12</v>
      </c>
      <c r="G362" t="str">
        <f>"R$ 2.091,40"</f>
        <v>R$ 2.091,40</v>
      </c>
      <c r="H362" t="str">
        <f t="shared" si="31"/>
        <v>R$ 0,00</v>
      </c>
      <c r="I362" t="str">
        <f>"R$ 2.091,40"</f>
        <v>R$ 2.091,40</v>
      </c>
      <c r="J362" t="str">
        <f>"R$ 1.059,75"</f>
        <v>R$ 1.059,75</v>
      </c>
      <c r="K362" t="str">
        <f>"R$ 1.031,65"</f>
        <v>R$ 1.031,65</v>
      </c>
    </row>
    <row r="363" spans="1:11" x14ac:dyDescent="0.25">
      <c r="A363" t="str">
        <f>"00005070 / 1"</f>
        <v>00005070 / 1</v>
      </c>
      <c r="B363" t="str">
        <f>"Folha Mensal"</f>
        <v>Folha Mensal</v>
      </c>
      <c r="C363" t="str">
        <f>"Denise Conceicao de Souza Teixeira"</f>
        <v>Denise Conceicao de Souza Teixeira</v>
      </c>
      <c r="D363" t="str">
        <f>"PROFESSOR"</f>
        <v>PROFESSOR</v>
      </c>
      <c r="E363" t="str">
        <f t="shared" si="32"/>
        <v>Efetivo-Inativo I- RJUSM</v>
      </c>
      <c r="F363" t="str">
        <f>"R$ 1.673,12"</f>
        <v>R$ 1.673,12</v>
      </c>
      <c r="G363" t="str">
        <f>"R$ 2.131,94"</f>
        <v>R$ 2.131,94</v>
      </c>
      <c r="H363" t="str">
        <f t="shared" si="31"/>
        <v>R$ 0,00</v>
      </c>
      <c r="I363" t="str">
        <f>"R$ 2.131,94"</f>
        <v>R$ 2.131,94</v>
      </c>
      <c r="J363" t="str">
        <f>"R$ 736,58"</f>
        <v>R$ 736,58</v>
      </c>
      <c r="K363" t="str">
        <f>"R$ 1.395,36"</f>
        <v>R$ 1.395,36</v>
      </c>
    </row>
    <row r="364" spans="1:11" x14ac:dyDescent="0.25">
      <c r="A364" t="str">
        <f>"00278483 / 1"</f>
        <v>00278483 / 1</v>
      </c>
      <c r="B364" t="str">
        <f>"13° Salário Anual"</f>
        <v>13° Salário Anual</v>
      </c>
      <c r="C364" t="str">
        <f>"Deuza Maria Lopes de Brito"</f>
        <v>Deuza Maria Lopes de Brito</v>
      </c>
      <c r="D364" t="str">
        <f>"PROFESSOR"</f>
        <v>PROFESSOR</v>
      </c>
      <c r="E364" t="str">
        <f t="shared" si="32"/>
        <v>Efetivo-Inativo I- RJUSM</v>
      </c>
      <c r="F364" t="str">
        <f>"R$ 2.071,51"</f>
        <v>R$ 2.071,51</v>
      </c>
      <c r="G364" t="str">
        <f>"R$ 2.589,38"</f>
        <v>R$ 2.589,38</v>
      </c>
      <c r="H364" t="str">
        <f t="shared" si="31"/>
        <v>R$ 0,00</v>
      </c>
      <c r="I364" t="str">
        <f>"R$ 2.589,38"</f>
        <v>R$ 2.589,38</v>
      </c>
      <c r="J364" t="str">
        <f>"R$ 1.346,09"</f>
        <v>R$ 1.346,09</v>
      </c>
      <c r="K364" t="str">
        <f>"R$ 1.243,29"</f>
        <v>R$ 1.243,29</v>
      </c>
    </row>
    <row r="365" spans="1:11" x14ac:dyDescent="0.25">
      <c r="A365" t="str">
        <f>"00278483 / 1"</f>
        <v>00278483 / 1</v>
      </c>
      <c r="B365" t="str">
        <f>"Folha Mensal"</f>
        <v>Folha Mensal</v>
      </c>
      <c r="C365" t="str">
        <f>"Deuza Maria Lopes de Brito"</f>
        <v>Deuza Maria Lopes de Brito</v>
      </c>
      <c r="D365" t="str">
        <f>"PROFESSOR"</f>
        <v>PROFESSOR</v>
      </c>
      <c r="E365" t="str">
        <f t="shared" si="32"/>
        <v>Efetivo-Inativo I- RJUSM</v>
      </c>
      <c r="F365" t="str">
        <f>"R$ 2.071,51"</f>
        <v>R$ 2.071,51</v>
      </c>
      <c r="G365" t="str">
        <f>"R$ 2.589,38"</f>
        <v>R$ 2.589,38</v>
      </c>
      <c r="H365" t="str">
        <f t="shared" si="31"/>
        <v>R$ 0,00</v>
      </c>
      <c r="I365" t="str">
        <f>"R$ 2.589,38"</f>
        <v>R$ 2.589,38</v>
      </c>
      <c r="J365" t="str">
        <f>"R$ 811,51"</f>
        <v>R$ 811,51</v>
      </c>
      <c r="K365" t="str">
        <f>"R$ 1.777,87"</f>
        <v>R$ 1.777,87</v>
      </c>
    </row>
    <row r="366" spans="1:11" x14ac:dyDescent="0.25">
      <c r="A366" t="str">
        <f>"00017655 / 2"</f>
        <v>00017655 / 2</v>
      </c>
      <c r="B366" t="str">
        <f>"13° Salário Anual"</f>
        <v>13° Salário Anual</v>
      </c>
      <c r="C366" t="str">
        <f>"Deuzolinda Pinheiro Matos"</f>
        <v>Deuzolinda Pinheiro Matos</v>
      </c>
      <c r="D366" t="str">
        <f>"PROP IDADE"</f>
        <v>PROP IDADE</v>
      </c>
      <c r="E366" t="str">
        <f t="shared" si="32"/>
        <v>Efetivo-Inativo I- RJUSM</v>
      </c>
      <c r="F366" t="str">
        <f>"R$ 1.100,00"</f>
        <v>R$ 1.100,00</v>
      </c>
      <c r="G366" t="str">
        <f>"R$ 1.100,00"</f>
        <v>R$ 1.100,00</v>
      </c>
      <c r="H366" t="str">
        <f t="shared" si="31"/>
        <v>R$ 0,00</v>
      </c>
      <c r="I366" t="str">
        <f>"R$ 1.100,00"</f>
        <v>R$ 1.100,00</v>
      </c>
      <c r="J366" t="str">
        <f>"R$ 550,00"</f>
        <v>R$ 550,00</v>
      </c>
      <c r="K366" t="str">
        <f>"R$ 550,00"</f>
        <v>R$ 550,00</v>
      </c>
    </row>
    <row r="367" spans="1:11" x14ac:dyDescent="0.25">
      <c r="A367" t="str">
        <f>"00017655 / 2"</f>
        <v>00017655 / 2</v>
      </c>
      <c r="B367" t="str">
        <f>"Folha Mensal"</f>
        <v>Folha Mensal</v>
      </c>
      <c r="C367" t="str">
        <f>"Deuzolinda Pinheiro Matos"</f>
        <v>Deuzolinda Pinheiro Matos</v>
      </c>
      <c r="D367" t="str">
        <f>"PROP IDADE"</f>
        <v>PROP IDADE</v>
      </c>
      <c r="E367" t="str">
        <f t="shared" si="32"/>
        <v>Efetivo-Inativo I- RJUSM</v>
      </c>
      <c r="F367" t="str">
        <f>"R$ 1.100,00"</f>
        <v>R$ 1.100,00</v>
      </c>
      <c r="G367" t="str">
        <f>"R$ 1.100,00"</f>
        <v>R$ 1.100,00</v>
      </c>
      <c r="H367" t="str">
        <f t="shared" si="31"/>
        <v>R$ 0,00</v>
      </c>
      <c r="I367" t="str">
        <f>"R$ 1.100,00"</f>
        <v>R$ 1.100,00</v>
      </c>
      <c r="J367" t="str">
        <f>"R$ 345,51"</f>
        <v>R$ 345,51</v>
      </c>
      <c r="K367" t="str">
        <f>"R$ 754,49"</f>
        <v>R$ 754,49</v>
      </c>
    </row>
    <row r="368" spans="1:11" x14ac:dyDescent="0.25">
      <c r="A368" t="str">
        <f>"03642607 / 1"</f>
        <v>03642607 / 1</v>
      </c>
      <c r="B368" t="str">
        <f>"13° Salário Anual"</f>
        <v>13° Salário Anual</v>
      </c>
      <c r="C368" t="str">
        <f>"Dilceli Brito Almeida"</f>
        <v>Dilceli Brito Almeida</v>
      </c>
      <c r="D368" t="str">
        <f>"GUARDA MUNICIPAL"</f>
        <v>GUARDA MUNICIPAL</v>
      </c>
      <c r="E368" t="str">
        <f>"Pensionista"</f>
        <v>Pensionista</v>
      </c>
      <c r="F368" t="str">
        <f>"R$ 1.988,59"</f>
        <v>R$ 1.988,59</v>
      </c>
      <c r="G368" t="str">
        <f>"R$ 1.988,59"</f>
        <v>R$ 1.988,59</v>
      </c>
      <c r="H368" t="str">
        <f t="shared" si="31"/>
        <v>R$ 0,00</v>
      </c>
      <c r="I368" t="str">
        <f>"R$ 1.988,59"</f>
        <v>R$ 1.988,59</v>
      </c>
      <c r="J368" t="str">
        <f>"R$ 1.000,63"</f>
        <v>R$ 1.000,63</v>
      </c>
      <c r="K368" t="str">
        <f>"R$ 987,96"</f>
        <v>R$ 987,96</v>
      </c>
    </row>
    <row r="369" spans="1:11" x14ac:dyDescent="0.25">
      <c r="A369" t="str">
        <f>"03642607 / 1"</f>
        <v>03642607 / 1</v>
      </c>
      <c r="B369" t="str">
        <f>"Folha Mensal"</f>
        <v>Folha Mensal</v>
      </c>
      <c r="C369" t="str">
        <f>"Dilceli Brito Almeida"</f>
        <v>Dilceli Brito Almeida</v>
      </c>
      <c r="D369" t="str">
        <f>"GUARDA MUNICIPAL"</f>
        <v>GUARDA MUNICIPAL</v>
      </c>
      <c r="E369" t="str">
        <f>"Pensionista"</f>
        <v>Pensionista</v>
      </c>
      <c r="F369" t="str">
        <f>"R$ 1.988,59"</f>
        <v>R$ 1.988,59</v>
      </c>
      <c r="G369" t="str">
        <f>"R$ 1.988,59"</f>
        <v>R$ 1.988,59</v>
      </c>
      <c r="H369" t="str">
        <f t="shared" si="31"/>
        <v>R$ 0,00</v>
      </c>
      <c r="I369" t="str">
        <f>"R$ 1.988,59"</f>
        <v>R$ 1.988,59</v>
      </c>
      <c r="J369" t="str">
        <f>"R$ 577,46"</f>
        <v>R$ 577,46</v>
      </c>
      <c r="K369" t="str">
        <f>"R$ 1.411,13"</f>
        <v>R$ 1.411,13</v>
      </c>
    </row>
    <row r="370" spans="1:11" x14ac:dyDescent="0.25">
      <c r="A370" t="str">
        <f>"00007846 / 1"</f>
        <v>00007846 / 1</v>
      </c>
      <c r="B370" t="str">
        <f>"13° Salário Anual"</f>
        <v>13° Salário Anual</v>
      </c>
      <c r="C370" t="str">
        <f>"Dileia da Silva Matos"</f>
        <v>Dileia da Silva Matos</v>
      </c>
      <c r="D370" t="str">
        <f t="shared" ref="D370:D377" si="33">"PROFESSOR"</f>
        <v>PROFESSOR</v>
      </c>
      <c r="E370" t="str">
        <f t="shared" ref="E370:E377" si="34">"Efetivo-Inativo I- RJUSM"</f>
        <v>Efetivo-Inativo I- RJUSM</v>
      </c>
      <c r="F370" t="str">
        <f t="shared" ref="F370:F375" si="35">"R$ 1.593,46"</f>
        <v>R$ 1.593,46</v>
      </c>
      <c r="G370" t="str">
        <f t="shared" ref="G370:G375" si="36">"R$ 1.991,82"</f>
        <v>R$ 1.991,82</v>
      </c>
      <c r="H370" t="str">
        <f t="shared" si="31"/>
        <v>R$ 0,00</v>
      </c>
      <c r="I370" t="str">
        <f t="shared" ref="I370:I375" si="37">"R$ 1.991,82"</f>
        <v>R$ 1.991,82</v>
      </c>
      <c r="J370" t="str">
        <f>"R$ 1.002,49"</f>
        <v>R$ 1.002,49</v>
      </c>
      <c r="K370" t="str">
        <f>"R$ 989,33"</f>
        <v>R$ 989,33</v>
      </c>
    </row>
    <row r="371" spans="1:11" x14ac:dyDescent="0.25">
      <c r="A371" t="str">
        <f>"00007846 / 1"</f>
        <v>00007846 / 1</v>
      </c>
      <c r="B371" t="str">
        <f>"Folha Mensal"</f>
        <v>Folha Mensal</v>
      </c>
      <c r="C371" t="str">
        <f>"Dileia da Silva Matos"</f>
        <v>Dileia da Silva Matos</v>
      </c>
      <c r="D371" t="str">
        <f t="shared" si="33"/>
        <v>PROFESSOR</v>
      </c>
      <c r="E371" t="str">
        <f t="shared" si="34"/>
        <v>Efetivo-Inativo I- RJUSM</v>
      </c>
      <c r="F371" t="str">
        <f t="shared" si="35"/>
        <v>R$ 1.593,46</v>
      </c>
      <c r="G371" t="str">
        <f t="shared" si="36"/>
        <v>R$ 1.991,82</v>
      </c>
      <c r="H371" t="str">
        <f t="shared" si="31"/>
        <v>R$ 0,00</v>
      </c>
      <c r="I371" t="str">
        <f t="shared" si="37"/>
        <v>R$ 1.991,82</v>
      </c>
      <c r="J371" t="str">
        <f>"R$ 514,71"</f>
        <v>R$ 514,71</v>
      </c>
      <c r="K371" t="str">
        <f>"R$ 1.477,11"</f>
        <v>R$ 1.477,11</v>
      </c>
    </row>
    <row r="372" spans="1:11" x14ac:dyDescent="0.25">
      <c r="A372" t="str">
        <f>"00001031 / 1"</f>
        <v>00001031 / 1</v>
      </c>
      <c r="B372" t="str">
        <f>"13° Salário Anual"</f>
        <v>13° Salário Anual</v>
      </c>
      <c r="C372" t="str">
        <f>"Dilma Cardoso da Silva"</f>
        <v>Dilma Cardoso da Silva</v>
      </c>
      <c r="D372" t="str">
        <f t="shared" si="33"/>
        <v>PROFESSOR</v>
      </c>
      <c r="E372" t="str">
        <f t="shared" si="34"/>
        <v>Efetivo-Inativo I- RJUSM</v>
      </c>
      <c r="F372" t="str">
        <f t="shared" si="35"/>
        <v>R$ 1.593,46</v>
      </c>
      <c r="G372" t="str">
        <f t="shared" si="36"/>
        <v>R$ 1.991,82</v>
      </c>
      <c r="H372" t="str">
        <f t="shared" si="31"/>
        <v>R$ 0,00</v>
      </c>
      <c r="I372" t="str">
        <f t="shared" si="37"/>
        <v>R$ 1.991,82</v>
      </c>
      <c r="J372" t="str">
        <f>"R$ 1.002,49"</f>
        <v>R$ 1.002,49</v>
      </c>
      <c r="K372" t="str">
        <f>"R$ 989,33"</f>
        <v>R$ 989,33</v>
      </c>
    </row>
    <row r="373" spans="1:11" x14ac:dyDescent="0.25">
      <c r="A373" t="str">
        <f>"00001031 / 1"</f>
        <v>00001031 / 1</v>
      </c>
      <c r="B373" t="str">
        <f>"Folha Mensal"</f>
        <v>Folha Mensal</v>
      </c>
      <c r="C373" t="str">
        <f>"Dilma Cardoso da Silva"</f>
        <v>Dilma Cardoso da Silva</v>
      </c>
      <c r="D373" t="str">
        <f t="shared" si="33"/>
        <v>PROFESSOR</v>
      </c>
      <c r="E373" t="str">
        <f t="shared" si="34"/>
        <v>Efetivo-Inativo I- RJUSM</v>
      </c>
      <c r="F373" t="str">
        <f t="shared" si="35"/>
        <v>R$ 1.593,46</v>
      </c>
      <c r="G373" t="str">
        <f t="shared" si="36"/>
        <v>R$ 1.991,82</v>
      </c>
      <c r="H373" t="str">
        <f t="shared" si="31"/>
        <v>R$ 0,00</v>
      </c>
      <c r="I373" t="str">
        <f t="shared" si="37"/>
        <v>R$ 1.991,82</v>
      </c>
      <c r="J373" t="str">
        <f>"R$ 579,26"</f>
        <v>R$ 579,26</v>
      </c>
      <c r="K373" t="str">
        <f>"R$ 1.412,56"</f>
        <v>R$ 1.412,56</v>
      </c>
    </row>
    <row r="374" spans="1:11" x14ac:dyDescent="0.25">
      <c r="A374" t="str">
        <f>"00032182 / 1"</f>
        <v>00032182 / 1</v>
      </c>
      <c r="B374" t="str">
        <f>"13° Salário Anual"</f>
        <v>13° Salário Anual</v>
      </c>
      <c r="C374" t="str">
        <f>"Dinair da Silva Monteiro"</f>
        <v>Dinair da Silva Monteiro</v>
      </c>
      <c r="D374" t="str">
        <f t="shared" si="33"/>
        <v>PROFESSOR</v>
      </c>
      <c r="E374" t="str">
        <f t="shared" si="34"/>
        <v>Efetivo-Inativo I- RJUSM</v>
      </c>
      <c r="F374" t="str">
        <f t="shared" si="35"/>
        <v>R$ 1.593,46</v>
      </c>
      <c r="G374" t="str">
        <f t="shared" si="36"/>
        <v>R$ 1.991,82</v>
      </c>
      <c r="H374" t="str">
        <f t="shared" si="31"/>
        <v>R$ 0,00</v>
      </c>
      <c r="I374" t="str">
        <f t="shared" si="37"/>
        <v>R$ 1.991,82</v>
      </c>
      <c r="J374" t="str">
        <f>"R$ 995,91"</f>
        <v>R$ 995,91</v>
      </c>
      <c r="K374" t="str">
        <f>"R$ 995,91"</f>
        <v>R$ 995,91</v>
      </c>
    </row>
    <row r="375" spans="1:11" x14ac:dyDescent="0.25">
      <c r="A375" t="str">
        <f>"00032182 / 1"</f>
        <v>00032182 / 1</v>
      </c>
      <c r="B375" t="str">
        <f>"Folha Mensal"</f>
        <v>Folha Mensal</v>
      </c>
      <c r="C375" t="str">
        <f>"Dinair da Silva Monteiro"</f>
        <v>Dinair da Silva Monteiro</v>
      </c>
      <c r="D375" t="str">
        <f t="shared" si="33"/>
        <v>PROFESSOR</v>
      </c>
      <c r="E375" t="str">
        <f t="shared" si="34"/>
        <v>Efetivo-Inativo I- RJUSM</v>
      </c>
      <c r="F375" t="str">
        <f t="shared" si="35"/>
        <v>R$ 1.593,46</v>
      </c>
      <c r="G375" t="str">
        <f t="shared" si="36"/>
        <v>R$ 1.991,82</v>
      </c>
      <c r="H375" t="str">
        <f t="shared" si="31"/>
        <v>R$ 0,00</v>
      </c>
      <c r="I375" t="str">
        <f t="shared" si="37"/>
        <v>R$ 1.991,82</v>
      </c>
      <c r="J375" t="str">
        <f>"R$ 0,00"</f>
        <v>R$ 0,00</v>
      </c>
      <c r="K375" t="str">
        <f>"R$ 1.991,82"</f>
        <v>R$ 1.991,82</v>
      </c>
    </row>
    <row r="376" spans="1:11" x14ac:dyDescent="0.25">
      <c r="A376" t="str">
        <f>"00023108 / 1"</f>
        <v>00023108 / 1</v>
      </c>
      <c r="B376" t="str">
        <f>"13° Salário Anual"</f>
        <v>13° Salário Anual</v>
      </c>
      <c r="C376" t="str">
        <f>"Dinarda dos Santos da Fonseca"</f>
        <v>Dinarda dos Santos da Fonseca</v>
      </c>
      <c r="D376" t="str">
        <f t="shared" si="33"/>
        <v>PROFESSOR</v>
      </c>
      <c r="E376" t="str">
        <f t="shared" si="34"/>
        <v>Efetivo-Inativo I- RJUSM</v>
      </c>
      <c r="F376" t="str">
        <f>"R$ 2.788,57"</f>
        <v>R$ 2.788,57</v>
      </c>
      <c r="G376" t="str">
        <f>"R$ 3.485,71"</f>
        <v>R$ 3.485,71</v>
      </c>
      <c r="H376" t="str">
        <f t="shared" si="31"/>
        <v>R$ 0,00</v>
      </c>
      <c r="I376" t="str">
        <f>"R$ 3.485,71"</f>
        <v>R$ 3.485,71</v>
      </c>
      <c r="J376" t="str">
        <f>"R$ 1.910,90"</f>
        <v>R$ 1.910,90</v>
      </c>
      <c r="K376" t="str">
        <f>"R$ 1.574,81"</f>
        <v>R$ 1.574,81</v>
      </c>
    </row>
    <row r="377" spans="1:11" x14ac:dyDescent="0.25">
      <c r="A377" t="str">
        <f>"00023108 / 1"</f>
        <v>00023108 / 1</v>
      </c>
      <c r="B377" t="str">
        <f>"Folha Mensal"</f>
        <v>Folha Mensal</v>
      </c>
      <c r="C377" t="str">
        <f>"Dinarda dos Santos da Fonseca"</f>
        <v>Dinarda dos Santos da Fonseca</v>
      </c>
      <c r="D377" t="str">
        <f t="shared" si="33"/>
        <v>PROFESSOR</v>
      </c>
      <c r="E377" t="str">
        <f t="shared" si="34"/>
        <v>Efetivo-Inativo I- RJUSM</v>
      </c>
      <c r="F377" t="str">
        <f>"R$ 2.788,57"</f>
        <v>R$ 2.788,57</v>
      </c>
      <c r="G377" t="str">
        <f>"R$ 3.485,71"</f>
        <v>R$ 3.485,71</v>
      </c>
      <c r="H377" t="str">
        <f t="shared" si="31"/>
        <v>R$ 0,00</v>
      </c>
      <c r="I377" t="str">
        <f>"R$ 3.485,71"</f>
        <v>R$ 3.485,71</v>
      </c>
      <c r="J377" t="str">
        <f>"R$ 168,05"</f>
        <v>R$ 168,05</v>
      </c>
      <c r="K377" t="str">
        <f>"R$ 3.317,66"</f>
        <v>R$ 3.317,66</v>
      </c>
    </row>
    <row r="378" spans="1:11" x14ac:dyDescent="0.25">
      <c r="A378" t="str">
        <f>"00027464 / 1"</f>
        <v>00027464 / 1</v>
      </c>
      <c r="B378" t="str">
        <f>"13° Salário Anual"</f>
        <v>13° Salário Anual</v>
      </c>
      <c r="C378" t="str">
        <f>"Dioni do Socorro da Silva Cardoso"</f>
        <v>Dioni do Socorro da Silva Cardoso</v>
      </c>
      <c r="D378" t="str">
        <f>"PROFESSOR NIVEL II"</f>
        <v>PROFESSOR NIVEL II</v>
      </c>
      <c r="E378" t="str">
        <f>"Efetivo-Inativos II-RJUSM"</f>
        <v>Efetivo-Inativos II-RJUSM</v>
      </c>
      <c r="F378" t="str">
        <f>"R$ 5.736,46"</f>
        <v>R$ 5.736,46</v>
      </c>
      <c r="G378" t="str">
        <f>"R$ 7.457,39"</f>
        <v>R$ 7.457,39</v>
      </c>
      <c r="H378" t="str">
        <f t="shared" si="31"/>
        <v>R$ 0,00</v>
      </c>
      <c r="I378" t="str">
        <f>"R$ 7.457,39"</f>
        <v>R$ 7.457,39</v>
      </c>
      <c r="J378" t="str">
        <f>"R$ 5.047,77"</f>
        <v>R$ 5.047,77</v>
      </c>
      <c r="K378" t="str">
        <f>"R$ 2.409,62"</f>
        <v>R$ 2.409,62</v>
      </c>
    </row>
    <row r="379" spans="1:11" x14ac:dyDescent="0.25">
      <c r="A379" t="str">
        <f>"00027464 / 1"</f>
        <v>00027464 / 1</v>
      </c>
      <c r="B379" t="str">
        <f>"Folha Mensal"</f>
        <v>Folha Mensal</v>
      </c>
      <c r="C379" t="str">
        <f>"Dioni do Socorro da Silva Cardoso"</f>
        <v>Dioni do Socorro da Silva Cardoso</v>
      </c>
      <c r="D379" t="str">
        <f>"PROFESSOR NIVEL II"</f>
        <v>PROFESSOR NIVEL II</v>
      </c>
      <c r="E379" t="str">
        <f>"Efetivo-Inativos II-RJUSM"</f>
        <v>Efetivo-Inativos II-RJUSM</v>
      </c>
      <c r="F379" t="str">
        <f>"R$ 5.736,46"</f>
        <v>R$ 5.736,46</v>
      </c>
      <c r="G379" t="str">
        <f>"R$ 7.457,39"</f>
        <v>R$ 7.457,39</v>
      </c>
      <c r="H379" t="str">
        <f t="shared" si="31"/>
        <v>R$ 0,00</v>
      </c>
      <c r="I379" t="str">
        <f>"R$ 7.457,39"</f>
        <v>R$ 7.457,39</v>
      </c>
      <c r="J379" t="str">
        <f>"R$ 3.163,11"</f>
        <v>R$ 3.163,11</v>
      </c>
      <c r="K379" t="str">
        <f>"R$ 4.294,28"</f>
        <v>R$ 4.294,28</v>
      </c>
    </row>
    <row r="380" spans="1:11" x14ac:dyDescent="0.25">
      <c r="A380" t="str">
        <f>"00052183 / 1"</f>
        <v>00052183 / 1</v>
      </c>
      <c r="B380" t="str">
        <f>"13° Salário Anual"</f>
        <v>13° Salário Anual</v>
      </c>
      <c r="C380" t="str">
        <f>"Diva de Carvalho Cardoso"</f>
        <v>Diva de Carvalho Cardoso</v>
      </c>
      <c r="D380" t="str">
        <f>"PROFESSOR NIVEL III"</f>
        <v>PROFESSOR NIVEL III</v>
      </c>
      <c r="E380" t="str">
        <f>"Efetivo-Inativos II-RJUSM"</f>
        <v>Efetivo-Inativos II-RJUSM</v>
      </c>
      <c r="F380" t="str">
        <f>"R$ 5.417,81"</f>
        <v>R$ 5.417,81</v>
      </c>
      <c r="G380" t="str">
        <f>"R$ 6.501,37"</f>
        <v>R$ 6.501,37</v>
      </c>
      <c r="H380" t="str">
        <f t="shared" si="31"/>
        <v>R$ 0,00</v>
      </c>
      <c r="I380" t="str">
        <f>"R$ 6.501,37"</f>
        <v>R$ 6.501,37</v>
      </c>
      <c r="J380" t="str">
        <f>"R$ 4.209,82"</f>
        <v>R$ 4.209,82</v>
      </c>
      <c r="K380" t="str">
        <f>"R$ 2.291,55"</f>
        <v>R$ 2.291,55</v>
      </c>
    </row>
    <row r="381" spans="1:11" x14ac:dyDescent="0.25">
      <c r="A381" t="str">
        <f>"00052183 / 1"</f>
        <v>00052183 / 1</v>
      </c>
      <c r="B381" t="str">
        <f>"Folha Mensal"</f>
        <v>Folha Mensal</v>
      </c>
      <c r="C381" t="str">
        <f>"Diva de Carvalho Cardoso"</f>
        <v>Diva de Carvalho Cardoso</v>
      </c>
      <c r="D381" t="str">
        <f>"PROFESSOR NIVEL III"</f>
        <v>PROFESSOR NIVEL III</v>
      </c>
      <c r="E381" t="str">
        <f>"Efetivo-Inativos II-RJUSM"</f>
        <v>Efetivo-Inativos II-RJUSM</v>
      </c>
      <c r="F381" t="str">
        <f>"R$ 5.417,81"</f>
        <v>R$ 5.417,81</v>
      </c>
      <c r="G381" t="str">
        <f>"R$ 6.501,37"</f>
        <v>R$ 6.501,37</v>
      </c>
      <c r="H381" t="str">
        <f t="shared" si="31"/>
        <v>R$ 0,00</v>
      </c>
      <c r="I381" t="str">
        <f>"R$ 6.501,37"</f>
        <v>R$ 6.501,37</v>
      </c>
      <c r="J381" t="str">
        <f>"R$ 2.566,40"</f>
        <v>R$ 2.566,40</v>
      </c>
      <c r="K381" t="str">
        <f>"R$ 3.934,97"</f>
        <v>R$ 3.934,97</v>
      </c>
    </row>
    <row r="382" spans="1:11" x14ac:dyDescent="0.25">
      <c r="A382" t="str">
        <f>"00011452 / 1"</f>
        <v>00011452 / 1</v>
      </c>
      <c r="B382" t="str">
        <f>"13° Salário Anual"</f>
        <v>13° Salário Anual</v>
      </c>
      <c r="C382" t="str">
        <f>"Divanice Nascimento Lopes"</f>
        <v>Divanice Nascimento Lopes</v>
      </c>
      <c r="D382" t="str">
        <f>"PROP IDADE"</f>
        <v>PROP IDADE</v>
      </c>
      <c r="E382" t="str">
        <f>"Efetivo-Inativo I- RJUSM"</f>
        <v>Efetivo-Inativo I- RJUSM</v>
      </c>
      <c r="F382" t="str">
        <f>"R$ 1.894,85"</f>
        <v>R$ 1.894,85</v>
      </c>
      <c r="G382" t="str">
        <f>"R$ 1.894,85"</f>
        <v>R$ 1.894,85</v>
      </c>
      <c r="H382" t="str">
        <f t="shared" ref="H382:H412" si="38">"R$ 0,00"</f>
        <v>R$ 0,00</v>
      </c>
      <c r="I382" t="str">
        <f>"R$ 1.894,85"</f>
        <v>R$ 1.894,85</v>
      </c>
      <c r="J382" t="str">
        <f>"R$ 947,42"</f>
        <v>R$ 947,42</v>
      </c>
      <c r="K382" t="str">
        <f>"R$ 947,43"</f>
        <v>R$ 947,43</v>
      </c>
    </row>
    <row r="383" spans="1:11" x14ac:dyDescent="0.25">
      <c r="A383" t="str">
        <f>"00011452 / 1"</f>
        <v>00011452 / 1</v>
      </c>
      <c r="B383" t="str">
        <f>"Folha Mensal"</f>
        <v>Folha Mensal</v>
      </c>
      <c r="C383" t="str">
        <f>"Divanice Nascimento Lopes"</f>
        <v>Divanice Nascimento Lopes</v>
      </c>
      <c r="D383" t="str">
        <f>"PROP IDADE"</f>
        <v>PROP IDADE</v>
      </c>
      <c r="E383" t="str">
        <f>"Efetivo-Inativo I- RJUSM"</f>
        <v>Efetivo-Inativo I- RJUSM</v>
      </c>
      <c r="F383" t="str">
        <f>"R$ 1.894,85"</f>
        <v>R$ 1.894,85</v>
      </c>
      <c r="G383" t="str">
        <f>"R$ 1.894,85"</f>
        <v>R$ 1.894,85</v>
      </c>
      <c r="H383" t="str">
        <f t="shared" si="38"/>
        <v>R$ 0,00</v>
      </c>
      <c r="I383" t="str">
        <f>"R$ 1.894,85"</f>
        <v>R$ 1.894,85</v>
      </c>
      <c r="J383" t="str">
        <f>"R$ 0,00"</f>
        <v>R$ 0,00</v>
      </c>
      <c r="K383" t="str">
        <f>"R$ 1.894,85"</f>
        <v>R$ 1.894,85</v>
      </c>
    </row>
    <row r="384" spans="1:11" x14ac:dyDescent="0.25">
      <c r="A384" t="str">
        <f>"00026816 / 1"</f>
        <v>00026816 / 1</v>
      </c>
      <c r="B384" t="str">
        <f>"13° Salário Anual"</f>
        <v>13° Salário Anual</v>
      </c>
      <c r="C384" t="str">
        <f>"Doracy Ribeiro do Nascimento"</f>
        <v>Doracy Ribeiro do Nascimento</v>
      </c>
      <c r="D384" t="str">
        <f>"INT TEMP CONTRIBUICAO"</f>
        <v>INT TEMP CONTRIBUICAO</v>
      </c>
      <c r="E384" t="str">
        <f>"Efetivo-Inativos II-RJUSM"</f>
        <v>Efetivo-Inativos II-RJUSM</v>
      </c>
      <c r="F384" t="str">
        <f>"R$ 1.100,00"</f>
        <v>R$ 1.100,00</v>
      </c>
      <c r="G384" t="str">
        <f>"R$ 1.430,00"</f>
        <v>R$ 1.430,00</v>
      </c>
      <c r="H384" t="str">
        <f t="shared" si="38"/>
        <v>R$ 0,00</v>
      </c>
      <c r="I384" t="str">
        <f>"R$ 1.430,00"</f>
        <v>R$ 1.430,00</v>
      </c>
      <c r="J384" t="str">
        <f>"R$ 715,00"</f>
        <v>R$ 715,00</v>
      </c>
      <c r="K384" t="str">
        <f>"R$ 715,00"</f>
        <v>R$ 715,00</v>
      </c>
    </row>
    <row r="385" spans="1:11" x14ac:dyDescent="0.25">
      <c r="A385" t="str">
        <f>"00026816 / 1"</f>
        <v>00026816 / 1</v>
      </c>
      <c r="B385" t="str">
        <f>"Folha Mensal"</f>
        <v>Folha Mensal</v>
      </c>
      <c r="C385" t="str">
        <f>"Doracy Ribeiro do Nascimento"</f>
        <v>Doracy Ribeiro do Nascimento</v>
      </c>
      <c r="D385" t="str">
        <f>"INT TEMP CONTRIBUICAO"</f>
        <v>INT TEMP CONTRIBUICAO</v>
      </c>
      <c r="E385" t="str">
        <f>"Efetivo-Inativos II-RJUSM"</f>
        <v>Efetivo-Inativos II-RJUSM</v>
      </c>
      <c r="F385" t="str">
        <f>"R$ 1.100,00"</f>
        <v>R$ 1.100,00</v>
      </c>
      <c r="G385" t="str">
        <f>"R$ 1.430,00"</f>
        <v>R$ 1.430,00</v>
      </c>
      <c r="H385" t="str">
        <f t="shared" si="38"/>
        <v>R$ 0,00</v>
      </c>
      <c r="I385" t="str">
        <f>"R$ 1.430,00"</f>
        <v>R$ 1.430,00</v>
      </c>
      <c r="J385" t="str">
        <f>"R$ 453,50"</f>
        <v>R$ 453,50</v>
      </c>
      <c r="K385" t="str">
        <f>"R$ 976,50"</f>
        <v>R$ 976,50</v>
      </c>
    </row>
    <row r="386" spans="1:11" x14ac:dyDescent="0.25">
      <c r="A386" t="str">
        <f>"03642690 / 1"</f>
        <v>03642690 / 1</v>
      </c>
      <c r="B386" t="str">
        <f>"13° Salário Anual"</f>
        <v>13° Salário Anual</v>
      </c>
      <c r="C386" t="str">
        <f>"Dulcinea Santiago da Penha"</f>
        <v>Dulcinea Santiago da Penha</v>
      </c>
      <c r="D386" t="str">
        <f>"INATIVO"</f>
        <v>INATIVO</v>
      </c>
      <c r="E386" t="str">
        <f>"Efetivo-Inativo I- RJUSM"</f>
        <v>Efetivo-Inativo I- RJUSM</v>
      </c>
      <c r="F386" t="str">
        <f>"R$ 1.100,00"</f>
        <v>R$ 1.100,00</v>
      </c>
      <c r="G386" t="str">
        <f>"R$ 1.155,00"</f>
        <v>R$ 1.155,00</v>
      </c>
      <c r="H386" t="str">
        <f t="shared" si="38"/>
        <v>R$ 0,00</v>
      </c>
      <c r="I386" t="str">
        <f>"R$ 1.155,00"</f>
        <v>R$ 1.155,00</v>
      </c>
      <c r="J386" t="str">
        <f>"R$ 577,50"</f>
        <v>R$ 577,50</v>
      </c>
      <c r="K386" t="str">
        <f>"R$ 577,50"</f>
        <v>R$ 577,50</v>
      </c>
    </row>
    <row r="387" spans="1:11" x14ac:dyDescent="0.25">
      <c r="A387" t="str">
        <f>"03642690 / 1"</f>
        <v>03642690 / 1</v>
      </c>
      <c r="B387" t="str">
        <f>"Folha Mensal"</f>
        <v>Folha Mensal</v>
      </c>
      <c r="C387" t="str">
        <f>"Dulcinea Santiago da Penha"</f>
        <v>Dulcinea Santiago da Penha</v>
      </c>
      <c r="D387" t="str">
        <f>"INATIVO"</f>
        <v>INATIVO</v>
      </c>
      <c r="E387" t="str">
        <f>"Efetivo-Inativo I- RJUSM"</f>
        <v>Efetivo-Inativo I- RJUSM</v>
      </c>
      <c r="F387" t="str">
        <f>"R$ 1.100,00"</f>
        <v>R$ 1.100,00</v>
      </c>
      <c r="G387" t="str">
        <f>"R$ 1.155,00"</f>
        <v>R$ 1.155,00</v>
      </c>
      <c r="H387" t="str">
        <f t="shared" si="38"/>
        <v>R$ 0,00</v>
      </c>
      <c r="I387" t="str">
        <f>"R$ 1.155,00"</f>
        <v>R$ 1.155,00</v>
      </c>
      <c r="J387" t="str">
        <f>"R$ 383,68"</f>
        <v>R$ 383,68</v>
      </c>
      <c r="K387" t="str">
        <f>"R$ 771,32"</f>
        <v>R$ 771,32</v>
      </c>
    </row>
    <row r="388" spans="1:11" x14ac:dyDescent="0.25">
      <c r="A388" t="str">
        <f>"00002640 / 1"</f>
        <v>00002640 / 1</v>
      </c>
      <c r="B388" t="str">
        <f>"13° Salário Anual"</f>
        <v>13° Salário Anual</v>
      </c>
      <c r="C388" t="str">
        <f>"Dulcinea Souza da Silva"</f>
        <v>Dulcinea Souza da Silva</v>
      </c>
      <c r="D388" t="str">
        <f>"PROFESSOR NIVEL I"</f>
        <v>PROFESSOR NIVEL I</v>
      </c>
      <c r="E388" t="str">
        <f>"Efetivo-Inativos II-RJUSM"</f>
        <v>Efetivo-Inativos II-RJUSM</v>
      </c>
      <c r="F388" t="str">
        <f>"R$ 4.780,42"</f>
        <v>R$ 4.780,42</v>
      </c>
      <c r="G388" t="str">
        <f>"R$ 6.214,54"</f>
        <v>R$ 6.214,54</v>
      </c>
      <c r="H388" t="str">
        <f t="shared" si="38"/>
        <v>R$ 0,00</v>
      </c>
      <c r="I388" t="str">
        <f>"R$ 6.214,54"</f>
        <v>R$ 6.214,54</v>
      </c>
      <c r="J388" t="str">
        <f>"R$ 3.906,28"</f>
        <v>R$ 3.906,28</v>
      </c>
      <c r="K388" t="str">
        <f>"R$ 2.308,26"</f>
        <v>R$ 2.308,26</v>
      </c>
    </row>
    <row r="389" spans="1:11" x14ac:dyDescent="0.25">
      <c r="A389" t="str">
        <f>"00002640 / 1"</f>
        <v>00002640 / 1</v>
      </c>
      <c r="B389" t="str">
        <f>"Folha Mensal"</f>
        <v>Folha Mensal</v>
      </c>
      <c r="C389" t="str">
        <f>"Dulcinea Souza da Silva"</f>
        <v>Dulcinea Souza da Silva</v>
      </c>
      <c r="D389" t="str">
        <f>"PROFESSOR NIVEL I"</f>
        <v>PROFESSOR NIVEL I</v>
      </c>
      <c r="E389" t="str">
        <f>"Efetivo-Inativos II-RJUSM"</f>
        <v>Efetivo-Inativos II-RJUSM</v>
      </c>
      <c r="F389" t="str">
        <f>"R$ 4.780,42"</f>
        <v>R$ 4.780,42</v>
      </c>
      <c r="G389" t="str">
        <f>"R$ 6.214,54"</f>
        <v>R$ 6.214,54</v>
      </c>
      <c r="H389" t="str">
        <f t="shared" si="38"/>
        <v>R$ 0,00</v>
      </c>
      <c r="I389" t="str">
        <f>"R$ 6.214,54"</f>
        <v>R$ 6.214,54</v>
      </c>
      <c r="J389" t="str">
        <f>"R$ 2.545,70"</f>
        <v>R$ 2.545,70</v>
      </c>
      <c r="K389" t="str">
        <f>"R$ 3.668,84"</f>
        <v>R$ 3.668,84</v>
      </c>
    </row>
    <row r="390" spans="1:11" x14ac:dyDescent="0.25">
      <c r="A390" t="str">
        <f>"00001880 / 1"</f>
        <v>00001880 / 1</v>
      </c>
      <c r="B390" t="str">
        <f>"13° Salário Anual"</f>
        <v>13° Salário Anual</v>
      </c>
      <c r="C390" t="str">
        <f>"Dulcirene de Souza Teixeira Ferreira"</f>
        <v>Dulcirene de Souza Teixeira Ferreira</v>
      </c>
      <c r="D390" t="str">
        <f>"PROFESSOR"</f>
        <v>PROFESSOR</v>
      </c>
      <c r="E390" t="str">
        <f>"Efetivo-Inativo I- RJUSM"</f>
        <v>Efetivo-Inativo I- RJUSM</v>
      </c>
      <c r="F390" t="str">
        <f>"R$ 1.593,46"</f>
        <v>R$ 1.593,46</v>
      </c>
      <c r="G390" t="str">
        <f>"R$ 1.991,82"</f>
        <v>R$ 1.991,82</v>
      </c>
      <c r="H390" t="str">
        <f t="shared" si="38"/>
        <v>R$ 0,00</v>
      </c>
      <c r="I390" t="str">
        <f>"R$ 1.991,82"</f>
        <v>R$ 1.991,82</v>
      </c>
      <c r="J390" t="str">
        <f>"R$ 995,91"</f>
        <v>R$ 995,91</v>
      </c>
      <c r="K390" t="str">
        <f>"R$ 995,91"</f>
        <v>R$ 995,91</v>
      </c>
    </row>
    <row r="391" spans="1:11" x14ac:dyDescent="0.25">
      <c r="A391" t="str">
        <f>"00001880 / 1"</f>
        <v>00001880 / 1</v>
      </c>
      <c r="B391" t="str">
        <f>"Folha Mensal"</f>
        <v>Folha Mensal</v>
      </c>
      <c r="C391" t="str">
        <f>"Dulcirene de Souza Teixeira Ferreira"</f>
        <v>Dulcirene de Souza Teixeira Ferreira</v>
      </c>
      <c r="D391" t="str">
        <f>"PROFESSOR"</f>
        <v>PROFESSOR</v>
      </c>
      <c r="E391" t="str">
        <f>"Efetivo-Inativo I- RJUSM"</f>
        <v>Efetivo-Inativo I- RJUSM</v>
      </c>
      <c r="F391" t="str">
        <f>"R$ 1.593,46"</f>
        <v>R$ 1.593,46</v>
      </c>
      <c r="G391" t="str">
        <f>"R$ 1.991,82"</f>
        <v>R$ 1.991,82</v>
      </c>
      <c r="H391" t="str">
        <f t="shared" si="38"/>
        <v>R$ 0,00</v>
      </c>
      <c r="I391" t="str">
        <f>"R$ 1.991,82"</f>
        <v>R$ 1.991,82</v>
      </c>
      <c r="J391" t="str">
        <f>"R$ 0,00"</f>
        <v>R$ 0,00</v>
      </c>
      <c r="K391" t="str">
        <f>"R$ 1.991,82"</f>
        <v>R$ 1.991,82</v>
      </c>
    </row>
    <row r="392" spans="1:11" x14ac:dyDescent="0.25">
      <c r="A392" t="str">
        <f>"00009725 / 1"</f>
        <v>00009725 / 1</v>
      </c>
      <c r="B392" t="str">
        <f>"13° Salário Anual"</f>
        <v>13° Salário Anual</v>
      </c>
      <c r="C392" t="str">
        <f>"Dulcirene Pereira da Silva"</f>
        <v>Dulcirene Pereira da Silva</v>
      </c>
      <c r="D392" t="str">
        <f>"PROFESSOR NIVEL II"</f>
        <v>PROFESSOR NIVEL II</v>
      </c>
      <c r="E392" t="str">
        <f>"Efetivo-Inativos II-RJUSM"</f>
        <v>Efetivo-Inativos II-RJUSM</v>
      </c>
      <c r="F392" t="str">
        <f>"R$ 5.577,14"</f>
        <v>R$ 5.577,14</v>
      </c>
      <c r="G392" t="str">
        <f>"R$ 7.250,28"</f>
        <v>R$ 7.250,28</v>
      </c>
      <c r="H392" t="str">
        <f t="shared" si="38"/>
        <v>R$ 0,00</v>
      </c>
      <c r="I392" t="str">
        <f>"R$ 7.250,28"</f>
        <v>R$ 7.250,28</v>
      </c>
      <c r="J392" t="str">
        <f>"R$ 4.866,25"</f>
        <v>R$ 4.866,25</v>
      </c>
      <c r="K392" t="str">
        <f>"R$ 2.384,03"</f>
        <v>R$ 2.384,03</v>
      </c>
    </row>
    <row r="393" spans="1:11" x14ac:dyDescent="0.25">
      <c r="A393" t="str">
        <f>"00009725 / 1"</f>
        <v>00009725 / 1</v>
      </c>
      <c r="B393" t="str">
        <f>"Folha Mensal"</f>
        <v>Folha Mensal</v>
      </c>
      <c r="C393" t="str">
        <f>"Dulcirene Pereira da Silva"</f>
        <v>Dulcirene Pereira da Silva</v>
      </c>
      <c r="D393" t="str">
        <f>"PROFESSOR NIVEL II"</f>
        <v>PROFESSOR NIVEL II</v>
      </c>
      <c r="E393" t="str">
        <f>"Efetivo-Inativos II-RJUSM"</f>
        <v>Efetivo-Inativos II-RJUSM</v>
      </c>
      <c r="F393" t="str">
        <f>"R$ 5.577,14"</f>
        <v>R$ 5.577,14</v>
      </c>
      <c r="G393" t="str">
        <f>"R$ 7.250,28"</f>
        <v>R$ 7.250,28</v>
      </c>
      <c r="H393" t="str">
        <f t="shared" si="38"/>
        <v>R$ 0,00</v>
      </c>
      <c r="I393" t="str">
        <f>"R$ 7.250,28"</f>
        <v>R$ 7.250,28</v>
      </c>
      <c r="J393" t="str">
        <f>"R$ 2.596,47"</f>
        <v>R$ 2.596,47</v>
      </c>
      <c r="K393" t="str">
        <f>"R$ 4.653,81"</f>
        <v>R$ 4.653,81</v>
      </c>
    </row>
    <row r="394" spans="1:11" x14ac:dyDescent="0.25">
      <c r="A394" t="str">
        <f>"03641880 / 1"</f>
        <v>03641880 / 1</v>
      </c>
      <c r="B394" t="str">
        <f>"13° Salário Anual"</f>
        <v>13° Salário Anual</v>
      </c>
      <c r="C394" t="str">
        <f>"Edeny Guimaraes dos Santos"</f>
        <v>Edeny Guimaraes dos Santos</v>
      </c>
      <c r="D394" t="str">
        <f>"PROFESSOR"</f>
        <v>PROFESSOR</v>
      </c>
      <c r="E394" t="str">
        <f>"Efetivo-Inativo I- RJUSM"</f>
        <v>Efetivo-Inativo I- RJUSM</v>
      </c>
      <c r="F394" t="str">
        <f>"R$ 1.593,46"</f>
        <v>R$ 1.593,46</v>
      </c>
      <c r="G394" t="str">
        <f>"R$ 1.991,82"</f>
        <v>R$ 1.991,82</v>
      </c>
      <c r="H394" t="str">
        <f t="shared" si="38"/>
        <v>R$ 0,00</v>
      </c>
      <c r="I394" t="str">
        <f>"R$ 1.991,82"</f>
        <v>R$ 1.991,82</v>
      </c>
      <c r="J394" t="str">
        <f>"R$ 995,91"</f>
        <v>R$ 995,91</v>
      </c>
      <c r="K394" t="str">
        <f>"R$ 995,91"</f>
        <v>R$ 995,91</v>
      </c>
    </row>
    <row r="395" spans="1:11" x14ac:dyDescent="0.25">
      <c r="A395" t="str">
        <f>"03641880 / 1"</f>
        <v>03641880 / 1</v>
      </c>
      <c r="B395" t="str">
        <f>"Folha Mensal"</f>
        <v>Folha Mensal</v>
      </c>
      <c r="C395" t="str">
        <f>"Edeny Guimaraes dos Santos"</f>
        <v>Edeny Guimaraes dos Santos</v>
      </c>
      <c r="D395" t="str">
        <f>"PROFESSOR"</f>
        <v>PROFESSOR</v>
      </c>
      <c r="E395" t="str">
        <f>"Efetivo-Inativo I- RJUSM"</f>
        <v>Efetivo-Inativo I- RJUSM</v>
      </c>
      <c r="F395" t="str">
        <f>"R$ 1.593,46"</f>
        <v>R$ 1.593,46</v>
      </c>
      <c r="G395" t="str">
        <f>"R$ 1.991,82"</f>
        <v>R$ 1.991,82</v>
      </c>
      <c r="H395" t="str">
        <f t="shared" si="38"/>
        <v>R$ 0,00</v>
      </c>
      <c r="I395" t="str">
        <f>"R$ 1.991,82"</f>
        <v>R$ 1.991,82</v>
      </c>
      <c r="J395" t="str">
        <f>"R$ 0,00"</f>
        <v>R$ 0,00</v>
      </c>
      <c r="K395" t="str">
        <f>"R$ 1.991,82"</f>
        <v>R$ 1.991,82</v>
      </c>
    </row>
    <row r="396" spans="1:11" x14ac:dyDescent="0.25">
      <c r="A396" t="str">
        <f>"00023612 / 1"</f>
        <v>00023612 / 1</v>
      </c>
      <c r="B396" t="str">
        <f>"13° Salário Anual"</f>
        <v>13° Salário Anual</v>
      </c>
      <c r="C396" t="str">
        <f>"Edileuza de Lima Soares"</f>
        <v>Edileuza de Lima Soares</v>
      </c>
      <c r="D396" t="str">
        <f>"PROFESSOR"</f>
        <v>PROFESSOR</v>
      </c>
      <c r="E396" t="str">
        <f>"Efetivo-Inativo I- RJUSM"</f>
        <v>Efetivo-Inativo I- RJUSM</v>
      </c>
      <c r="F396" t="str">
        <f>"R$ 4.143,03"</f>
        <v>R$ 4.143,03</v>
      </c>
      <c r="G396" t="str">
        <f>"R$ 5.385,93"</f>
        <v>R$ 5.385,93</v>
      </c>
      <c r="H396" t="str">
        <f t="shared" si="38"/>
        <v>R$ 0,00</v>
      </c>
      <c r="I396" t="str">
        <f>"R$ 5.385,93"</f>
        <v>R$ 5.385,93</v>
      </c>
      <c r="J396" t="str">
        <f>"R$ 2.832,01"</f>
        <v>R$ 2.832,01</v>
      </c>
      <c r="K396" t="str">
        <f>"R$ 2.553,92"</f>
        <v>R$ 2.553,92</v>
      </c>
    </row>
    <row r="397" spans="1:11" x14ac:dyDescent="0.25">
      <c r="A397" t="str">
        <f>"00023612 / 1"</f>
        <v>00023612 / 1</v>
      </c>
      <c r="B397" t="str">
        <f>"Folha Mensal"</f>
        <v>Folha Mensal</v>
      </c>
      <c r="C397" t="str">
        <f>"Edileuza de Lima Soares"</f>
        <v>Edileuza de Lima Soares</v>
      </c>
      <c r="D397" t="str">
        <f>"PROFESSOR"</f>
        <v>PROFESSOR</v>
      </c>
      <c r="E397" t="str">
        <f>"Efetivo-Inativo I- RJUSM"</f>
        <v>Efetivo-Inativo I- RJUSM</v>
      </c>
      <c r="F397" t="str">
        <f>"R$ 4.143,03"</f>
        <v>R$ 4.143,03</v>
      </c>
      <c r="G397" t="str">
        <f>"R$ 5.385,93"</f>
        <v>R$ 5.385,93</v>
      </c>
      <c r="H397" t="str">
        <f t="shared" si="38"/>
        <v>R$ 0,00</v>
      </c>
      <c r="I397" t="str">
        <f>"R$ 5.385,93"</f>
        <v>R$ 5.385,93</v>
      </c>
      <c r="J397" t="str">
        <f>"R$ 139,05"</f>
        <v>R$ 139,05</v>
      </c>
      <c r="K397" t="str">
        <f>"R$ 5.246,88"</f>
        <v>R$ 5.246,88</v>
      </c>
    </row>
    <row r="398" spans="1:11" x14ac:dyDescent="0.25">
      <c r="A398" t="str">
        <f>"00023140 / 1"</f>
        <v>00023140 / 1</v>
      </c>
      <c r="B398" t="str">
        <f>"13° Salário Anual"</f>
        <v>13° Salário Anual</v>
      </c>
      <c r="C398" t="str">
        <f>"Edileuza Maria de Oliveira Nunes"</f>
        <v>Edileuza Maria de Oliveira Nunes</v>
      </c>
      <c r="D398" t="str">
        <f>"PROFESSOR NIVEL II"</f>
        <v>PROFESSOR NIVEL II</v>
      </c>
      <c r="E398" t="str">
        <f>"Efetivo-Inativos II-RJUSM"</f>
        <v>Efetivo-Inativos II-RJUSM</v>
      </c>
      <c r="F398" t="str">
        <f>"R$ 5.577,14"</f>
        <v>R$ 5.577,14</v>
      </c>
      <c r="G398" t="str">
        <f>"R$ 6.971,42"</f>
        <v>R$ 6.971,42</v>
      </c>
      <c r="H398" t="str">
        <f t="shared" si="38"/>
        <v>R$ 0,00</v>
      </c>
      <c r="I398" t="str">
        <f>"R$ 6.971,42"</f>
        <v>R$ 6.971,42</v>
      </c>
      <c r="J398" t="str">
        <f>"R$ 3.607,56"</f>
        <v>R$ 3.607,56</v>
      </c>
      <c r="K398" t="str">
        <f>"R$ 3.363,86"</f>
        <v>R$ 3.363,86</v>
      </c>
    </row>
    <row r="399" spans="1:11" x14ac:dyDescent="0.25">
      <c r="A399" t="str">
        <f>"00023140 / 1"</f>
        <v>00023140 / 1</v>
      </c>
      <c r="B399" t="str">
        <f>"Folha Mensal"</f>
        <v>Folha Mensal</v>
      </c>
      <c r="C399" t="str">
        <f>"Edileuza Maria de Oliveira Nunes"</f>
        <v>Edileuza Maria de Oliveira Nunes</v>
      </c>
      <c r="D399" t="str">
        <f>"PROFESSOR NIVEL II"</f>
        <v>PROFESSOR NIVEL II</v>
      </c>
      <c r="E399" t="str">
        <f>"Efetivo-Inativos II-RJUSM"</f>
        <v>Efetivo-Inativos II-RJUSM</v>
      </c>
      <c r="F399" t="str">
        <f>"R$ 5.577,14"</f>
        <v>R$ 5.577,14</v>
      </c>
      <c r="G399" t="str">
        <f>"R$ 6.971,42"</f>
        <v>R$ 6.971,42</v>
      </c>
      <c r="H399" t="str">
        <f t="shared" si="38"/>
        <v>R$ 0,00</v>
      </c>
      <c r="I399" t="str">
        <f>"R$ 6.971,42"</f>
        <v>R$ 6.971,42</v>
      </c>
      <c r="J399" t="str">
        <f>"R$ 121,85"</f>
        <v>R$ 121,85</v>
      </c>
      <c r="K399" t="str">
        <f>"R$ 6.849,57"</f>
        <v>R$ 6.849,57</v>
      </c>
    </row>
    <row r="400" spans="1:11" x14ac:dyDescent="0.25">
      <c r="A400" t="str">
        <f>"00013730 / 1"</f>
        <v>00013730 / 1</v>
      </c>
      <c r="B400" t="str">
        <f>"13° Salário Anual"</f>
        <v>13° Salário Anual</v>
      </c>
      <c r="C400" t="str">
        <f>"Edilia Rangel da Silva"</f>
        <v>Edilia Rangel da Silva</v>
      </c>
      <c r="D400" t="str">
        <f>"PROFESSOR"</f>
        <v>PROFESSOR</v>
      </c>
      <c r="E400" t="str">
        <f>"Efetivo-Inativo I- RJUSM"</f>
        <v>Efetivo-Inativo I- RJUSM</v>
      </c>
      <c r="F400" t="str">
        <f>"R$ 5.417,81"</f>
        <v>R$ 5.417,81</v>
      </c>
      <c r="G400" t="str">
        <f>"R$ 6.772,26"</f>
        <v>R$ 6.772,26</v>
      </c>
      <c r="H400" t="str">
        <f t="shared" si="38"/>
        <v>R$ 0,00</v>
      </c>
      <c r="I400" t="str">
        <f>"R$ 6.772,26"</f>
        <v>R$ 6.772,26</v>
      </c>
      <c r="J400" t="str">
        <f>"R$ 4.395,12"</f>
        <v>R$ 4.395,12</v>
      </c>
      <c r="K400" t="str">
        <f>"R$ 2.377,14"</f>
        <v>R$ 2.377,14</v>
      </c>
    </row>
    <row r="401" spans="1:11" x14ac:dyDescent="0.25">
      <c r="A401" t="str">
        <f>"00013730 / 1"</f>
        <v>00013730 / 1</v>
      </c>
      <c r="B401" t="str">
        <f>"Folha Mensal"</f>
        <v>Folha Mensal</v>
      </c>
      <c r="C401" t="str">
        <f>"Edilia Rangel da Silva"</f>
        <v>Edilia Rangel da Silva</v>
      </c>
      <c r="D401" t="str">
        <f>"PROFESSOR"</f>
        <v>PROFESSOR</v>
      </c>
      <c r="E401" t="str">
        <f>"Efetivo-Inativo I- RJUSM"</f>
        <v>Efetivo-Inativo I- RJUSM</v>
      </c>
      <c r="F401" t="str">
        <f>"R$ 5.417,81"</f>
        <v>R$ 5.417,81</v>
      </c>
      <c r="G401" t="str">
        <f>"R$ 6.772,26"</f>
        <v>R$ 6.772,26</v>
      </c>
      <c r="H401" t="str">
        <f t="shared" si="38"/>
        <v>R$ 0,00</v>
      </c>
      <c r="I401" t="str">
        <f>"R$ 6.772,26"</f>
        <v>R$ 6.772,26</v>
      </c>
      <c r="J401" t="str">
        <f>"R$ 1.008,99"</f>
        <v>R$ 1.008,99</v>
      </c>
      <c r="K401" t="str">
        <f>"R$ 5.763,27"</f>
        <v>R$ 5.763,27</v>
      </c>
    </row>
    <row r="402" spans="1:11" x14ac:dyDescent="0.25">
      <c r="A402" t="str">
        <f>"03642119 / 1"</f>
        <v>03642119 / 1</v>
      </c>
      <c r="B402" t="str">
        <f>"13° Salário Anual"</f>
        <v>13° Salário Anual</v>
      </c>
      <c r="C402" t="str">
        <f>"Edilson Amaral dos Passos"</f>
        <v>Edilson Amaral dos Passos</v>
      </c>
      <c r="D402" t="str">
        <f>"PENSIONISTA"</f>
        <v>PENSIONISTA</v>
      </c>
      <c r="E402" t="str">
        <f>"Pensionista"</f>
        <v>Pensionista</v>
      </c>
      <c r="F402" t="str">
        <f>"R$ 898,88"</f>
        <v>R$ 898,88</v>
      </c>
      <c r="G402" t="str">
        <f>"R$ 1.123,60"</f>
        <v>R$ 1.123,60</v>
      </c>
      <c r="H402" t="str">
        <f t="shared" si="38"/>
        <v>R$ 0,00</v>
      </c>
      <c r="I402" t="str">
        <f>"R$ 1.123,60"</f>
        <v>R$ 1.123,60</v>
      </c>
      <c r="J402" t="str">
        <f>"R$ 561,80"</f>
        <v>R$ 561,80</v>
      </c>
      <c r="K402" t="str">
        <f>"R$ 561,80"</f>
        <v>R$ 561,80</v>
      </c>
    </row>
    <row r="403" spans="1:11" x14ac:dyDescent="0.25">
      <c r="A403" t="str">
        <f>"03642119 / 1"</f>
        <v>03642119 / 1</v>
      </c>
      <c r="B403" t="str">
        <f>"Folha Mensal"</f>
        <v>Folha Mensal</v>
      </c>
      <c r="C403" t="str">
        <f>"Edilson Amaral dos Passos"</f>
        <v>Edilson Amaral dos Passos</v>
      </c>
      <c r="D403" t="str">
        <f>"PENSIONISTA"</f>
        <v>PENSIONISTA</v>
      </c>
      <c r="E403" t="str">
        <f>"Pensionista"</f>
        <v>Pensionista</v>
      </c>
      <c r="F403" t="str">
        <f>"R$ 898,88"</f>
        <v>R$ 898,88</v>
      </c>
      <c r="G403" t="str">
        <f>"R$ 1.123,60"</f>
        <v>R$ 1.123,60</v>
      </c>
      <c r="H403" t="str">
        <f t="shared" si="38"/>
        <v>R$ 0,00</v>
      </c>
      <c r="I403" t="str">
        <f>"R$ 1.123,60"</f>
        <v>R$ 1.123,60</v>
      </c>
      <c r="J403" t="str">
        <f>"R$ 209,91"</f>
        <v>R$ 209,91</v>
      </c>
      <c r="K403" t="str">
        <f>"R$ 913,69"</f>
        <v>R$ 913,69</v>
      </c>
    </row>
    <row r="404" spans="1:11" x14ac:dyDescent="0.25">
      <c r="A404" t="str">
        <f>"00042145 / 1"</f>
        <v>00042145 / 1</v>
      </c>
      <c r="B404" t="str">
        <f>"13° Salário Anual"</f>
        <v>13° Salário Anual</v>
      </c>
      <c r="C404" t="str">
        <f>"Edilson Sebastiao Siqueira dos Santos"</f>
        <v>Edilson Sebastiao Siqueira dos Santos</v>
      </c>
      <c r="D404" t="str">
        <f>"PROFESSOR NIVEL III"</f>
        <v>PROFESSOR NIVEL III</v>
      </c>
      <c r="E404" t="str">
        <f>"Efetivo-Inativos II-RJUSM"</f>
        <v>Efetivo-Inativos II-RJUSM</v>
      </c>
      <c r="F404" t="str">
        <f>"R$ 5.045,98"</f>
        <v>R$ 5.045,98</v>
      </c>
      <c r="G404" t="str">
        <f>"R$ 6.559,77"</f>
        <v>R$ 6.559,77</v>
      </c>
      <c r="H404" t="str">
        <f t="shared" si="38"/>
        <v>R$ 0,00</v>
      </c>
      <c r="I404" t="str">
        <f>"R$ 6.559,77"</f>
        <v>R$ 6.559,77</v>
      </c>
      <c r="J404" t="str">
        <f>"R$ 4.261,00"</f>
        <v>R$ 4.261,00</v>
      </c>
      <c r="K404" t="str">
        <f>"R$ 2.298,77"</f>
        <v>R$ 2.298,77</v>
      </c>
    </row>
    <row r="405" spans="1:11" x14ac:dyDescent="0.25">
      <c r="A405" t="str">
        <f>"00042145 / 1"</f>
        <v>00042145 / 1</v>
      </c>
      <c r="B405" t="str">
        <f>"Folha Mensal"</f>
        <v>Folha Mensal</v>
      </c>
      <c r="C405" t="str">
        <f>"Edilson Sebastiao Siqueira dos Santos"</f>
        <v>Edilson Sebastiao Siqueira dos Santos</v>
      </c>
      <c r="D405" t="str">
        <f>"PROFESSOR NIVEL III"</f>
        <v>PROFESSOR NIVEL III</v>
      </c>
      <c r="E405" t="str">
        <f>"Efetivo-Inativos II-RJUSM"</f>
        <v>Efetivo-Inativos II-RJUSM</v>
      </c>
      <c r="F405" t="str">
        <f>"R$ 5.045,98"</f>
        <v>R$ 5.045,98</v>
      </c>
      <c r="G405" t="str">
        <f>"R$ 6.559,77"</f>
        <v>R$ 6.559,77</v>
      </c>
      <c r="H405" t="str">
        <f t="shared" si="38"/>
        <v>R$ 0,00</v>
      </c>
      <c r="I405" t="str">
        <f>"R$ 6.559,77"</f>
        <v>R$ 6.559,77</v>
      </c>
      <c r="J405" t="str">
        <f>"R$ 2.575,53"</f>
        <v>R$ 2.575,53</v>
      </c>
      <c r="K405" t="str">
        <f>"R$ 3.984,24"</f>
        <v>R$ 3.984,24</v>
      </c>
    </row>
    <row r="406" spans="1:11" x14ac:dyDescent="0.25">
      <c r="A406" t="str">
        <f>"00003913 / 1"</f>
        <v>00003913 / 1</v>
      </c>
      <c r="B406" t="str">
        <f>"13° Salário Anual"</f>
        <v>13° Salário Anual</v>
      </c>
      <c r="C406" t="str">
        <f>"Edina Maria de Melo Monteiro"</f>
        <v>Edina Maria de Melo Monteiro</v>
      </c>
      <c r="D406" t="str">
        <f>"PROFESSOR"</f>
        <v>PROFESSOR</v>
      </c>
      <c r="E406" t="str">
        <f>"Efetivo-Inativo I- RJUSM"</f>
        <v>Efetivo-Inativo I- RJUSM</v>
      </c>
      <c r="F406" t="str">
        <f>"R$ 2.071,51"</f>
        <v>R$ 2.071,51</v>
      </c>
      <c r="G406" t="str">
        <f>"R$ 2.589,38"</f>
        <v>R$ 2.589,38</v>
      </c>
      <c r="H406" t="str">
        <f t="shared" si="38"/>
        <v>R$ 0,00</v>
      </c>
      <c r="I406" t="str">
        <f>"R$ 2.589,38"</f>
        <v>R$ 2.589,38</v>
      </c>
      <c r="J406" t="str">
        <f>"R$ 1.331,87"</f>
        <v>R$ 1.331,87</v>
      </c>
      <c r="K406" t="str">
        <f>"R$ 1.257,51"</f>
        <v>R$ 1.257,51</v>
      </c>
    </row>
    <row r="407" spans="1:11" x14ac:dyDescent="0.25">
      <c r="A407" t="str">
        <f>"00003913 / 1"</f>
        <v>00003913 / 1</v>
      </c>
      <c r="B407" t="str">
        <f>"Folha Mensal"</f>
        <v>Folha Mensal</v>
      </c>
      <c r="C407" t="str">
        <f>"Edina Maria de Melo Monteiro"</f>
        <v>Edina Maria de Melo Monteiro</v>
      </c>
      <c r="D407" t="str">
        <f>"PROFESSOR"</f>
        <v>PROFESSOR</v>
      </c>
      <c r="E407" t="str">
        <f>"Efetivo-Inativo I- RJUSM"</f>
        <v>Efetivo-Inativo I- RJUSM</v>
      </c>
      <c r="F407" t="str">
        <f>"R$ 2.071,51"</f>
        <v>R$ 2.071,51</v>
      </c>
      <c r="G407" t="str">
        <f>"R$ 2.589,38"</f>
        <v>R$ 2.589,38</v>
      </c>
      <c r="H407" t="str">
        <f t="shared" si="38"/>
        <v>R$ 0,00</v>
      </c>
      <c r="I407" t="str">
        <f>"R$ 2.589,38"</f>
        <v>R$ 2.589,38</v>
      </c>
      <c r="J407" t="str">
        <f>"R$ 37,18"</f>
        <v>R$ 37,18</v>
      </c>
      <c r="K407" t="str">
        <f>"R$ 2.552,20"</f>
        <v>R$ 2.552,20</v>
      </c>
    </row>
    <row r="408" spans="1:11" x14ac:dyDescent="0.25">
      <c r="A408" t="str">
        <f>"00002305 / 1"</f>
        <v>00002305 / 1</v>
      </c>
      <c r="B408" t="str">
        <f>"13° Salário Anual"</f>
        <v>13° Salário Anual</v>
      </c>
      <c r="C408" t="str">
        <f>"Edina Maria Soares de Melo"</f>
        <v>Edina Maria Soares de Melo</v>
      </c>
      <c r="D408" t="str">
        <f>"PROFESSOR"</f>
        <v>PROFESSOR</v>
      </c>
      <c r="E408" t="str">
        <f>"Efetivo-Inativo I- RJUSM"</f>
        <v>Efetivo-Inativo I- RJUSM</v>
      </c>
      <c r="F408" t="str">
        <f>"R$ 1.673,12"</f>
        <v>R$ 1.673,12</v>
      </c>
      <c r="G408" t="str">
        <f>"R$ 2.175,05"</f>
        <v>R$ 2.175,05</v>
      </c>
      <c r="H408" t="str">
        <f t="shared" si="38"/>
        <v>R$ 0,00</v>
      </c>
      <c r="I408" t="str">
        <f>"R$ 2.175,05"</f>
        <v>R$ 2.175,05</v>
      </c>
      <c r="J408" t="str">
        <f>"R$ 1.087,52"</f>
        <v>R$ 1.087,52</v>
      </c>
      <c r="K408" t="str">
        <f>"R$ 1.087,53"</f>
        <v>R$ 1.087,53</v>
      </c>
    </row>
    <row r="409" spans="1:11" x14ac:dyDescent="0.25">
      <c r="A409" t="str">
        <f>"00002305 / 1"</f>
        <v>00002305 / 1</v>
      </c>
      <c r="B409" t="str">
        <f>"Folha Mensal"</f>
        <v>Folha Mensal</v>
      </c>
      <c r="C409" t="str">
        <f>"Edina Maria Soares de Melo"</f>
        <v>Edina Maria Soares de Melo</v>
      </c>
      <c r="D409" t="str">
        <f>"PROFESSOR"</f>
        <v>PROFESSOR</v>
      </c>
      <c r="E409" t="str">
        <f>"Efetivo-Inativo I- RJUSM"</f>
        <v>Efetivo-Inativo I- RJUSM</v>
      </c>
      <c r="F409" t="str">
        <f>"R$ 1.673,12"</f>
        <v>R$ 1.673,12</v>
      </c>
      <c r="G409" t="str">
        <f>"R$ 2.175,05"</f>
        <v>R$ 2.175,05</v>
      </c>
      <c r="H409" t="str">
        <f t="shared" si="38"/>
        <v>R$ 0,00</v>
      </c>
      <c r="I409" t="str">
        <f>"R$ 2.175,05"</f>
        <v>R$ 2.175,05</v>
      </c>
      <c r="J409" t="str">
        <f>"R$ 0,00"</f>
        <v>R$ 0,00</v>
      </c>
      <c r="K409" t="str">
        <f>"R$ 2.175,05"</f>
        <v>R$ 2.175,05</v>
      </c>
    </row>
    <row r="410" spans="1:11" x14ac:dyDescent="0.25">
      <c r="A410" t="str">
        <f>"00032050 / 1"</f>
        <v>00032050 / 1</v>
      </c>
      <c r="B410" t="str">
        <f>"13° Salário Anual"</f>
        <v>13° Salário Anual</v>
      </c>
      <c r="C410" t="str">
        <f>"Edirani Ramos Marques"</f>
        <v>Edirani Ramos Marques</v>
      </c>
      <c r="D410" t="str">
        <f>"PROFESSOR NIVEL I"</f>
        <v>PROFESSOR NIVEL I</v>
      </c>
      <c r="E410" t="str">
        <f>"Efetivo-Inativos II-RJUSM"</f>
        <v>Efetivo-Inativos II-RJUSM</v>
      </c>
      <c r="F410" t="str">
        <f>"R$ 4.461,70"</f>
        <v>R$ 4.461,70</v>
      </c>
      <c r="G410" t="str">
        <f>"R$ 5.577,12"</f>
        <v>R$ 5.577,12</v>
      </c>
      <c r="H410" t="str">
        <f t="shared" si="38"/>
        <v>R$ 0,00</v>
      </c>
      <c r="I410" t="str">
        <f>"R$ 5.577,12"</f>
        <v>R$ 5.577,12</v>
      </c>
      <c r="J410" t="str">
        <f>"R$ 3.452,90"</f>
        <v>R$ 3.452,90</v>
      </c>
      <c r="K410" t="str">
        <f>"R$ 2.124,22"</f>
        <v>R$ 2.124,22</v>
      </c>
    </row>
    <row r="411" spans="1:11" x14ac:dyDescent="0.25">
      <c r="A411" t="str">
        <f>"00032050 / 1"</f>
        <v>00032050 / 1</v>
      </c>
      <c r="B411" t="str">
        <f>"Folha Mensal"</f>
        <v>Folha Mensal</v>
      </c>
      <c r="C411" t="str">
        <f>"Edirani Ramos Marques"</f>
        <v>Edirani Ramos Marques</v>
      </c>
      <c r="D411" t="str">
        <f>"PROFESSOR NIVEL I"</f>
        <v>PROFESSOR NIVEL I</v>
      </c>
      <c r="E411" t="str">
        <f>"Efetivo-Inativos II-RJUSM"</f>
        <v>Efetivo-Inativos II-RJUSM</v>
      </c>
      <c r="F411" t="str">
        <f>"R$ 4.461,70"</f>
        <v>R$ 4.461,70</v>
      </c>
      <c r="G411" t="str">
        <f>"R$ 5.577,12"</f>
        <v>R$ 5.577,12</v>
      </c>
      <c r="H411" t="str">
        <f t="shared" si="38"/>
        <v>R$ 0,00</v>
      </c>
      <c r="I411" t="str">
        <f>"R$ 5.577,12"</f>
        <v>R$ 5.577,12</v>
      </c>
      <c r="J411" t="str">
        <f>"R$ 664,34"</f>
        <v>R$ 664,34</v>
      </c>
      <c r="K411" t="str">
        <f>"R$ 4.912,78"</f>
        <v>R$ 4.912,78</v>
      </c>
    </row>
    <row r="412" spans="1:11" x14ac:dyDescent="0.25">
      <c r="A412" t="str">
        <f>"03641384 / 1"</f>
        <v>03641384 / 1</v>
      </c>
      <c r="B412" t="str">
        <f>"13° Salário Anual"</f>
        <v>13° Salário Anual</v>
      </c>
      <c r="C412" t="str">
        <f>"Edmilson Bandeira Caldas"</f>
        <v>Edmilson Bandeira Caldas</v>
      </c>
      <c r="D412" t="str">
        <f>"DAS 04"</f>
        <v>DAS 04</v>
      </c>
      <c r="E412" t="str">
        <f>"Comissionado"</f>
        <v>Comissionado</v>
      </c>
      <c r="F412" t="str">
        <f>"R$ 1.685,13"</f>
        <v>R$ 1.685,13</v>
      </c>
      <c r="G412" t="str">
        <f>"R$ 842,56"</f>
        <v>R$ 842,56</v>
      </c>
      <c r="H412" t="str">
        <f t="shared" si="38"/>
        <v>R$ 0,00</v>
      </c>
      <c r="I412" t="str">
        <f>"R$ 842,56"</f>
        <v>R$ 842,56</v>
      </c>
      <c r="J412" t="str">
        <f>"R$ 484,47"</f>
        <v>R$ 484,47</v>
      </c>
      <c r="K412" t="str">
        <f>"R$ 358,09"</f>
        <v>R$ 358,09</v>
      </c>
    </row>
    <row r="413" spans="1:11" x14ac:dyDescent="0.25">
      <c r="A413" t="str">
        <f>"03641384 / 1"</f>
        <v>03641384 / 1</v>
      </c>
      <c r="B413" t="str">
        <f>"Folha Mensal"</f>
        <v>Folha Mensal</v>
      </c>
      <c r="C413" t="str">
        <f>"Edmilson Bandeira Caldas"</f>
        <v>Edmilson Bandeira Caldas</v>
      </c>
      <c r="D413" t="str">
        <f>"DAS 04"</f>
        <v>DAS 04</v>
      </c>
      <c r="E413" t="str">
        <f>"Comissionado"</f>
        <v>Comissionado</v>
      </c>
      <c r="F413" t="str">
        <f>"R$ 1.685,13"</f>
        <v>R$ 1.685,13</v>
      </c>
      <c r="G413" t="str">
        <f>"R$ 1.685,13"</f>
        <v>R$ 1.685,13</v>
      </c>
      <c r="H413" t="str">
        <f>"R$ 288,00"</f>
        <v>R$ 288,00</v>
      </c>
      <c r="I413" t="str">
        <f>"R$ 1.973,13"</f>
        <v>R$ 1.973,13</v>
      </c>
      <c r="J413" t="str">
        <f>"R$ 236,26"</f>
        <v>R$ 236,26</v>
      </c>
      <c r="K413" t="str">
        <f>"R$ 1.736,87"</f>
        <v>R$ 1.736,87</v>
      </c>
    </row>
    <row r="414" spans="1:11" x14ac:dyDescent="0.25">
      <c r="A414" t="str">
        <f>"03641759 / 1"</f>
        <v>03641759 / 1</v>
      </c>
      <c r="B414" t="str">
        <f>"13° Salário Anual"</f>
        <v>13° Salário Anual</v>
      </c>
      <c r="C414" t="str">
        <f>"Edna Conceicao Carvalho Lima"</f>
        <v>Edna Conceicao Carvalho Lima</v>
      </c>
      <c r="D414" t="str">
        <f>"DAS 05"</f>
        <v>DAS 05</v>
      </c>
      <c r="E414" t="str">
        <f>"Comissionado"</f>
        <v>Comissionado</v>
      </c>
      <c r="F414" t="str">
        <f>"R$ 2.025,00"</f>
        <v>R$ 2.025,00</v>
      </c>
      <c r="G414" t="str">
        <f>"R$ 675,00"</f>
        <v>R$ 675,00</v>
      </c>
      <c r="H414" t="str">
        <f t="shared" ref="H414:H430" si="39">"R$ 0,00"</f>
        <v>R$ 0,00</v>
      </c>
      <c r="I414" t="str">
        <f>"R$ 675,00"</f>
        <v>R$ 675,00</v>
      </c>
      <c r="J414" t="str">
        <f>"R$ 388,12"</f>
        <v>R$ 388,12</v>
      </c>
      <c r="K414" t="str">
        <f>"R$ 286,88"</f>
        <v>R$ 286,88</v>
      </c>
    </row>
    <row r="415" spans="1:11" x14ac:dyDescent="0.25">
      <c r="A415" t="str">
        <f>"03641759 / 1"</f>
        <v>03641759 / 1</v>
      </c>
      <c r="B415" t="str">
        <f>"Folha Mensal"</f>
        <v>Folha Mensal</v>
      </c>
      <c r="C415" t="str">
        <f>"Edna Conceicao Carvalho Lima"</f>
        <v>Edna Conceicao Carvalho Lima</v>
      </c>
      <c r="D415" t="str">
        <f>"DAS 05"</f>
        <v>DAS 05</v>
      </c>
      <c r="E415" t="str">
        <f>"Comissionado"</f>
        <v>Comissionado</v>
      </c>
      <c r="F415" t="str">
        <f>"R$ 2.025,00"</f>
        <v>R$ 2.025,00</v>
      </c>
      <c r="G415" t="str">
        <f>"R$ 2.025,00"</f>
        <v>R$ 2.025,00</v>
      </c>
      <c r="H415" t="str">
        <f t="shared" si="39"/>
        <v>R$ 0,00</v>
      </c>
      <c r="I415" t="str">
        <f>"R$ 2.025,00"</f>
        <v>R$ 2.025,00</v>
      </c>
      <c r="J415" t="str">
        <f>"R$ 165,75"</f>
        <v>R$ 165,75</v>
      </c>
      <c r="K415" t="str">
        <f>"R$ 1.859,25"</f>
        <v>R$ 1.859,25</v>
      </c>
    </row>
    <row r="416" spans="1:11" x14ac:dyDescent="0.25">
      <c r="A416" t="str">
        <f>"00009113 / 1"</f>
        <v>00009113 / 1</v>
      </c>
      <c r="B416" t="str">
        <f>"13° Salário Anual"</f>
        <v>13° Salário Anual</v>
      </c>
      <c r="C416" t="str">
        <f>"Edna Maria da Conceicao Palheta"</f>
        <v>Edna Maria da Conceicao Palheta</v>
      </c>
      <c r="D416" t="str">
        <f>"INT TEMP CONTRIBUICAO"</f>
        <v>INT TEMP CONTRIBUICAO</v>
      </c>
      <c r="E416" t="str">
        <f>"Efetivo-Inativos II-RJUSM"</f>
        <v>Efetivo-Inativos II-RJUSM</v>
      </c>
      <c r="F416" t="str">
        <f>"R$ 1.100,00"</f>
        <v>R$ 1.100,00</v>
      </c>
      <c r="G416" t="str">
        <f>"R$ 1.430,00"</f>
        <v>R$ 1.430,00</v>
      </c>
      <c r="H416" t="str">
        <f t="shared" si="39"/>
        <v>R$ 0,00</v>
      </c>
      <c r="I416" t="str">
        <f>"R$ 1.430,00"</f>
        <v>R$ 1.430,00</v>
      </c>
      <c r="J416" t="str">
        <f>"R$ 822,25"</f>
        <v>R$ 822,25</v>
      </c>
      <c r="K416" t="str">
        <f>"R$ 607,75"</f>
        <v>R$ 607,75</v>
      </c>
    </row>
    <row r="417" spans="1:11" x14ac:dyDescent="0.25">
      <c r="A417" t="str">
        <f>"00009113 / 1"</f>
        <v>00009113 / 1</v>
      </c>
      <c r="B417" t="str">
        <f>"Folha Mensal"</f>
        <v>Folha Mensal</v>
      </c>
      <c r="C417" t="str">
        <f>"Edna Maria da Conceicao Palheta"</f>
        <v>Edna Maria da Conceicao Palheta</v>
      </c>
      <c r="D417" t="str">
        <f>"INT TEMP CONTRIBUICAO"</f>
        <v>INT TEMP CONTRIBUICAO</v>
      </c>
      <c r="E417" t="str">
        <f>"Efetivo-Inativos II-RJUSM"</f>
        <v>Efetivo-Inativos II-RJUSM</v>
      </c>
      <c r="F417" t="str">
        <f>"R$ 1.100,00"</f>
        <v>R$ 1.100,00</v>
      </c>
      <c r="G417" t="str">
        <f>"R$ 1.430,00"</f>
        <v>R$ 1.430,00</v>
      </c>
      <c r="H417" t="str">
        <f t="shared" si="39"/>
        <v>R$ 0,00</v>
      </c>
      <c r="I417" t="str">
        <f>"R$ 1.430,00"</f>
        <v>R$ 1.430,00</v>
      </c>
      <c r="J417" t="str">
        <f>"R$ 620,32"</f>
        <v>R$ 620,32</v>
      </c>
      <c r="K417" t="str">
        <f>"R$ 809,68"</f>
        <v>R$ 809,68</v>
      </c>
    </row>
    <row r="418" spans="1:11" x14ac:dyDescent="0.25">
      <c r="A418" t="str">
        <f>"00057967 / 1"</f>
        <v>00057967 / 1</v>
      </c>
      <c r="B418" t="str">
        <f>"13° Salário Anual"</f>
        <v>13° Salário Anual</v>
      </c>
      <c r="C418" t="str">
        <f>"Edna Maria de Castro Gomes"</f>
        <v>Edna Maria de Castro Gomes</v>
      </c>
      <c r="D418" t="str">
        <f>"PROFESSOR"</f>
        <v>PROFESSOR</v>
      </c>
      <c r="E418" t="str">
        <f>"Efetivo-Inativo I- RJUSM"</f>
        <v>Efetivo-Inativo I- RJUSM</v>
      </c>
      <c r="F418" t="str">
        <f>"R$ 2.230,85"</f>
        <v>R$ 2.230,85</v>
      </c>
      <c r="G418" t="str">
        <f>"R$ 2.565,47"</f>
        <v>R$ 2.565,47</v>
      </c>
      <c r="H418" t="str">
        <f t="shared" si="39"/>
        <v>R$ 0,00</v>
      </c>
      <c r="I418" t="str">
        <f>"R$ 2.565,47"</f>
        <v>R$ 2.565,47</v>
      </c>
      <c r="J418" t="str">
        <f>"R$ 1.282,73"</f>
        <v>R$ 1.282,73</v>
      </c>
      <c r="K418" t="str">
        <f>"R$ 1.282,74"</f>
        <v>R$ 1.282,74</v>
      </c>
    </row>
    <row r="419" spans="1:11" x14ac:dyDescent="0.25">
      <c r="A419" t="str">
        <f>"00057967 / 1"</f>
        <v>00057967 / 1</v>
      </c>
      <c r="B419" t="str">
        <f>"Folha Mensal"</f>
        <v>Folha Mensal</v>
      </c>
      <c r="C419" t="str">
        <f>"Edna Maria de Castro Gomes"</f>
        <v>Edna Maria de Castro Gomes</v>
      </c>
      <c r="D419" t="str">
        <f>"PROFESSOR"</f>
        <v>PROFESSOR</v>
      </c>
      <c r="E419" t="str">
        <f>"Efetivo-Inativo I- RJUSM"</f>
        <v>Efetivo-Inativo I- RJUSM</v>
      </c>
      <c r="F419" t="str">
        <f>"R$ 2.230,85"</f>
        <v>R$ 2.230,85</v>
      </c>
      <c r="G419" t="str">
        <f>"R$ 2.565,47"</f>
        <v>R$ 2.565,47</v>
      </c>
      <c r="H419" t="str">
        <f t="shared" si="39"/>
        <v>R$ 0,00</v>
      </c>
      <c r="I419" t="str">
        <f>"R$ 2.565,47"</f>
        <v>R$ 2.565,47</v>
      </c>
      <c r="J419" t="str">
        <f>"R$ 0,00"</f>
        <v>R$ 0,00</v>
      </c>
      <c r="K419" t="str">
        <f>"R$ 2.565,47"</f>
        <v>R$ 2.565,47</v>
      </c>
    </row>
    <row r="420" spans="1:11" x14ac:dyDescent="0.25">
      <c r="A420" t="str">
        <f>"00005576 / 1"</f>
        <v>00005576 / 1</v>
      </c>
      <c r="B420" t="str">
        <f>"13° Salário Anual"</f>
        <v>13° Salário Anual</v>
      </c>
      <c r="C420" t="str">
        <f>"Edna Maria Monteiro Cardeal"</f>
        <v>Edna Maria Monteiro Cardeal</v>
      </c>
      <c r="D420" t="str">
        <f>"PROFESSOR"</f>
        <v>PROFESSOR</v>
      </c>
      <c r="E420" t="str">
        <f>"Efetivo-Inativo I- RJUSM"</f>
        <v>Efetivo-Inativo I- RJUSM</v>
      </c>
      <c r="F420" t="str">
        <f>"R$ 1.593,46"</f>
        <v>R$ 1.593,46</v>
      </c>
      <c r="G420" t="str">
        <f>"R$ 2.071,49"</f>
        <v>R$ 2.071,49</v>
      </c>
      <c r="H420" t="str">
        <f t="shared" si="39"/>
        <v>R$ 0,00</v>
      </c>
      <c r="I420" t="str">
        <f>"R$ 2.071,49"</f>
        <v>R$ 2.071,49</v>
      </c>
      <c r="J420" t="str">
        <f>"R$ 1.035,74"</f>
        <v>R$ 1.035,74</v>
      </c>
      <c r="K420" t="str">
        <f>"R$ 1.035,75"</f>
        <v>R$ 1.035,75</v>
      </c>
    </row>
    <row r="421" spans="1:11" x14ac:dyDescent="0.25">
      <c r="A421" t="str">
        <f>"00005576 / 1"</f>
        <v>00005576 / 1</v>
      </c>
      <c r="B421" t="str">
        <f>"Folha Mensal"</f>
        <v>Folha Mensal</v>
      </c>
      <c r="C421" t="str">
        <f>"Edna Maria Monteiro Cardeal"</f>
        <v>Edna Maria Monteiro Cardeal</v>
      </c>
      <c r="D421" t="str">
        <f>"PROFESSOR"</f>
        <v>PROFESSOR</v>
      </c>
      <c r="E421" t="str">
        <f>"Efetivo-Inativo I- RJUSM"</f>
        <v>Efetivo-Inativo I- RJUSM</v>
      </c>
      <c r="F421" t="str">
        <f>"R$ 1.593,46"</f>
        <v>R$ 1.593,46</v>
      </c>
      <c r="G421" t="str">
        <f>"R$ 2.071,49"</f>
        <v>R$ 2.071,49</v>
      </c>
      <c r="H421" t="str">
        <f t="shared" si="39"/>
        <v>R$ 0,00</v>
      </c>
      <c r="I421" t="str">
        <f>"R$ 2.071,49"</f>
        <v>R$ 2.071,49</v>
      </c>
      <c r="J421" t="str">
        <f>"R$ 0,00"</f>
        <v>R$ 0,00</v>
      </c>
      <c r="K421" t="str">
        <f>"R$ 2.071,49"</f>
        <v>R$ 2.071,49</v>
      </c>
    </row>
    <row r="422" spans="1:11" x14ac:dyDescent="0.25">
      <c r="A422" t="str">
        <f>"00003794 / 1"</f>
        <v>00003794 / 1</v>
      </c>
      <c r="B422" t="str">
        <f>"13° Salário Anual"</f>
        <v>13° Salário Anual</v>
      </c>
      <c r="C422" t="str">
        <f>"Edna Maria Nascimento"</f>
        <v>Edna Maria Nascimento</v>
      </c>
      <c r="D422" t="str">
        <f>"INT TEMP CONTRIBUICAO"</f>
        <v>INT TEMP CONTRIBUICAO</v>
      </c>
      <c r="E422" t="str">
        <f>"Efetivo-Inativos II-RJUSM"</f>
        <v>Efetivo-Inativos II-RJUSM</v>
      </c>
      <c r="F422" t="str">
        <f>"R$ 1.100,00"</f>
        <v>R$ 1.100,00</v>
      </c>
      <c r="G422" t="str">
        <f>"R$ 1.430,00"</f>
        <v>R$ 1.430,00</v>
      </c>
      <c r="H422" t="str">
        <f t="shared" si="39"/>
        <v>R$ 0,00</v>
      </c>
      <c r="I422" t="str">
        <f>"R$ 1.430,00"</f>
        <v>R$ 1.430,00</v>
      </c>
      <c r="J422" t="str">
        <f>"R$ 715,00"</f>
        <v>R$ 715,00</v>
      </c>
      <c r="K422" t="str">
        <f>"R$ 715,00"</f>
        <v>R$ 715,00</v>
      </c>
    </row>
    <row r="423" spans="1:11" x14ac:dyDescent="0.25">
      <c r="A423" t="str">
        <f>"00003794 / 1"</f>
        <v>00003794 / 1</v>
      </c>
      <c r="B423" t="str">
        <f>"Folha Mensal"</f>
        <v>Folha Mensal</v>
      </c>
      <c r="C423" t="str">
        <f>"Edna Maria Nascimento"</f>
        <v>Edna Maria Nascimento</v>
      </c>
      <c r="D423" t="str">
        <f>"INT TEMP CONTRIBUICAO"</f>
        <v>INT TEMP CONTRIBUICAO</v>
      </c>
      <c r="E423" t="str">
        <f>"Efetivo-Inativos II-RJUSM"</f>
        <v>Efetivo-Inativos II-RJUSM</v>
      </c>
      <c r="F423" t="str">
        <f>"R$ 1.100,00"</f>
        <v>R$ 1.100,00</v>
      </c>
      <c r="G423" t="str">
        <f>"R$ 1.430,00"</f>
        <v>R$ 1.430,00</v>
      </c>
      <c r="H423" t="str">
        <f t="shared" si="39"/>
        <v>R$ 0,00</v>
      </c>
      <c r="I423" t="str">
        <f>"R$ 1.430,00"</f>
        <v>R$ 1.430,00</v>
      </c>
      <c r="J423" t="str">
        <f>"R$ 0,00"</f>
        <v>R$ 0,00</v>
      </c>
      <c r="K423" t="str">
        <f>"R$ 1.430,00"</f>
        <v>R$ 1.430,00</v>
      </c>
    </row>
    <row r="424" spans="1:11" x14ac:dyDescent="0.25">
      <c r="A424" t="str">
        <f>"00013960 / 2"</f>
        <v>00013960 / 2</v>
      </c>
      <c r="B424" t="str">
        <f>"13° Salário Anual"</f>
        <v>13° Salário Anual</v>
      </c>
      <c r="C424" t="str">
        <f>"Edna Maria Pinheiro de Souza"</f>
        <v>Edna Maria Pinheiro de Souza</v>
      </c>
      <c r="D424" t="str">
        <f>"PROFESSOR NIVEL II"</f>
        <v>PROFESSOR NIVEL II</v>
      </c>
      <c r="E424" t="str">
        <f>"Efetivo-Inativos II-RJUSM"</f>
        <v>Efetivo-Inativos II-RJUSM</v>
      </c>
      <c r="F424" t="str">
        <f>"R$ 5.417,81"</f>
        <v>R$ 5.417,81</v>
      </c>
      <c r="G424" t="str">
        <f>"R$ 6.772,26"</f>
        <v>R$ 6.772,26</v>
      </c>
      <c r="H424" t="str">
        <f t="shared" si="39"/>
        <v>R$ 0,00</v>
      </c>
      <c r="I424" t="str">
        <f>"R$ 6.772,26"</f>
        <v>R$ 6.772,26</v>
      </c>
      <c r="J424" t="str">
        <f>"R$ 4.395,12"</f>
        <v>R$ 4.395,12</v>
      </c>
      <c r="K424" t="str">
        <f>"R$ 2.377,14"</f>
        <v>R$ 2.377,14</v>
      </c>
    </row>
    <row r="425" spans="1:11" x14ac:dyDescent="0.25">
      <c r="A425" t="str">
        <f>"00013960 / 2"</f>
        <v>00013960 / 2</v>
      </c>
      <c r="B425" t="str">
        <f>"Folha Mensal"</f>
        <v>Folha Mensal</v>
      </c>
      <c r="C425" t="str">
        <f>"Edna Maria Pinheiro de Souza"</f>
        <v>Edna Maria Pinheiro de Souza</v>
      </c>
      <c r="D425" t="str">
        <f>"PROFESSOR NIVEL II"</f>
        <v>PROFESSOR NIVEL II</v>
      </c>
      <c r="E425" t="str">
        <f>"Efetivo-Inativos II-RJUSM"</f>
        <v>Efetivo-Inativos II-RJUSM</v>
      </c>
      <c r="F425" t="str">
        <f>"R$ 5.417,81"</f>
        <v>R$ 5.417,81</v>
      </c>
      <c r="G425" t="str">
        <f>"R$ 6.772,26"</f>
        <v>R$ 6.772,26</v>
      </c>
      <c r="H425" t="str">
        <f t="shared" si="39"/>
        <v>R$ 0,00</v>
      </c>
      <c r="I425" t="str">
        <f>"R$ 6.772,26"</f>
        <v>R$ 6.772,26</v>
      </c>
      <c r="J425" t="str">
        <f>"R$ 1.008,99"</f>
        <v>R$ 1.008,99</v>
      </c>
      <c r="K425" t="str">
        <f>"R$ 5.763,27"</f>
        <v>R$ 5.763,27</v>
      </c>
    </row>
    <row r="426" spans="1:11" x14ac:dyDescent="0.25">
      <c r="A426" t="str">
        <f>"00007323 / 1"</f>
        <v>00007323 / 1</v>
      </c>
      <c r="B426" t="str">
        <f>"13° Salário Anual"</f>
        <v>13° Salário Anual</v>
      </c>
      <c r="C426" t="str">
        <f>"Edna Maria Silva Santos"</f>
        <v>Edna Maria Silva Santos</v>
      </c>
      <c r="D426" t="str">
        <f>"PROFESSOR"</f>
        <v>PROFESSOR</v>
      </c>
      <c r="E426" t="str">
        <f>"Efetivo-Inativo I- RJUSM"</f>
        <v>Efetivo-Inativo I- RJUSM</v>
      </c>
      <c r="F426" t="str">
        <f>"R$ 1.593,46"</f>
        <v>R$ 1.593,46</v>
      </c>
      <c r="G426" t="str">
        <f>"R$ 1.991,82"</f>
        <v>R$ 1.991,82</v>
      </c>
      <c r="H426" t="str">
        <f t="shared" si="39"/>
        <v>R$ 0,00</v>
      </c>
      <c r="I426" t="str">
        <f>"R$ 1.991,82"</f>
        <v>R$ 1.991,82</v>
      </c>
      <c r="J426" t="str">
        <f>"R$ 995,91"</f>
        <v>R$ 995,91</v>
      </c>
      <c r="K426" t="str">
        <f>"R$ 995,91"</f>
        <v>R$ 995,91</v>
      </c>
    </row>
    <row r="427" spans="1:11" x14ac:dyDescent="0.25">
      <c r="A427" t="str">
        <f>"00007323 / 1"</f>
        <v>00007323 / 1</v>
      </c>
      <c r="B427" t="str">
        <f>"Folha Mensal"</f>
        <v>Folha Mensal</v>
      </c>
      <c r="C427" t="str">
        <f>"Edna Maria Silva Santos"</f>
        <v>Edna Maria Silva Santos</v>
      </c>
      <c r="D427" t="str">
        <f>"PROFESSOR"</f>
        <v>PROFESSOR</v>
      </c>
      <c r="E427" t="str">
        <f>"Efetivo-Inativo I- RJUSM"</f>
        <v>Efetivo-Inativo I- RJUSM</v>
      </c>
      <c r="F427" t="str">
        <f>"R$ 1.593,46"</f>
        <v>R$ 1.593,46</v>
      </c>
      <c r="G427" t="str">
        <f>"R$ 1.991,82"</f>
        <v>R$ 1.991,82</v>
      </c>
      <c r="H427" t="str">
        <f t="shared" si="39"/>
        <v>R$ 0,00</v>
      </c>
      <c r="I427" t="str">
        <f>"R$ 1.991,82"</f>
        <v>R$ 1.991,82</v>
      </c>
      <c r="J427" t="str">
        <f>"R$ 0,00"</f>
        <v>R$ 0,00</v>
      </c>
      <c r="K427" t="str">
        <f>"R$ 1.991,82"</f>
        <v>R$ 1.991,82</v>
      </c>
    </row>
    <row r="428" spans="1:11" x14ac:dyDescent="0.25">
      <c r="A428" t="str">
        <f>"00051918 / 1"</f>
        <v>00051918 / 1</v>
      </c>
      <c r="B428" t="str">
        <f>"13° Salário Anual"</f>
        <v>13° Salário Anual</v>
      </c>
      <c r="C428" t="str">
        <f>"Ednalda Leite Alves Monteiro"</f>
        <v>Ednalda Leite Alves Monteiro</v>
      </c>
      <c r="D428" t="str">
        <f>"PROFESSOR NIVEL III"</f>
        <v>PROFESSOR NIVEL III</v>
      </c>
      <c r="E428" t="str">
        <f>"Efetivo-Inativos II-RJUSM"</f>
        <v>Efetivo-Inativos II-RJUSM</v>
      </c>
      <c r="F428" t="str">
        <f>"R$ 5.577,14"</f>
        <v>R$ 5.577,14</v>
      </c>
      <c r="G428" t="str">
        <f>"R$ 6.692,56"</f>
        <v>R$ 6.692,56</v>
      </c>
      <c r="H428" t="str">
        <f t="shared" si="39"/>
        <v>R$ 0,00</v>
      </c>
      <c r="I428" t="str">
        <f>"R$ 6.692,56"</f>
        <v>R$ 6.692,56</v>
      </c>
      <c r="J428" t="str">
        <f>"R$ 4.325,27"</f>
        <v>R$ 4.325,27</v>
      </c>
      <c r="K428" t="str">
        <f>"R$ 2.367,29"</f>
        <v>R$ 2.367,29</v>
      </c>
    </row>
    <row r="429" spans="1:11" x14ac:dyDescent="0.25">
      <c r="A429" t="str">
        <f>"00051918 / 1"</f>
        <v>00051918 / 1</v>
      </c>
      <c r="B429" t="str">
        <f>"Folha Mensal"</f>
        <v>Folha Mensal</v>
      </c>
      <c r="C429" t="str">
        <f>"Ednalda Leite Alves Monteiro"</f>
        <v>Ednalda Leite Alves Monteiro</v>
      </c>
      <c r="D429" t="str">
        <f>"PROFESSOR NIVEL III"</f>
        <v>PROFESSOR NIVEL III</v>
      </c>
      <c r="E429" t="str">
        <f>"Efetivo-Inativos II-RJUSM"</f>
        <v>Efetivo-Inativos II-RJUSM</v>
      </c>
      <c r="F429" t="str">
        <f>"R$ 5.577,14"</f>
        <v>R$ 5.577,14</v>
      </c>
      <c r="G429" t="str">
        <f>"R$ 6.692,56"</f>
        <v>R$ 6.692,56</v>
      </c>
      <c r="H429" t="str">
        <f t="shared" si="39"/>
        <v>R$ 0,00</v>
      </c>
      <c r="I429" t="str">
        <f>"R$ 6.692,56"</f>
        <v>R$ 6.692,56</v>
      </c>
      <c r="J429" t="str">
        <f>"R$ 3.259,76"</f>
        <v>R$ 3.259,76</v>
      </c>
      <c r="K429" t="str">
        <f>"R$ 3.432,80"</f>
        <v>R$ 3.432,80</v>
      </c>
    </row>
    <row r="430" spans="1:11" x14ac:dyDescent="0.25">
      <c r="A430" t="str">
        <f>"03640825 / 1"</f>
        <v>03640825 / 1</v>
      </c>
      <c r="B430" t="str">
        <f>"13° Salário Anual"</f>
        <v>13° Salário Anual</v>
      </c>
      <c r="C430" t="str">
        <f>"Edson Diego Nogueira Feitosa"</f>
        <v>Edson Diego Nogueira Feitosa</v>
      </c>
      <c r="D430" t="str">
        <f>"DAS 07"</f>
        <v>DAS 07</v>
      </c>
      <c r="E430" t="str">
        <f t="shared" ref="E430:E437" si="40">"Comissionado"</f>
        <v>Comissionado</v>
      </c>
      <c r="F430" t="str">
        <f>"R$ 3.154,55"</f>
        <v>R$ 3.154,55</v>
      </c>
      <c r="G430" t="str">
        <f>"R$ 2.891,67"</f>
        <v>R$ 2.891,67</v>
      </c>
      <c r="H430" t="str">
        <f t="shared" si="39"/>
        <v>R$ 0,00</v>
      </c>
      <c r="I430" t="str">
        <f>"R$ 2.891,67"</f>
        <v>R$ 2.891,67</v>
      </c>
      <c r="J430" t="str">
        <f>"R$ 1.736,02"</f>
        <v>R$ 1.736,02</v>
      </c>
      <c r="K430" t="str">
        <f>"R$ 1.155,65"</f>
        <v>R$ 1.155,65</v>
      </c>
    </row>
    <row r="431" spans="1:11" x14ac:dyDescent="0.25">
      <c r="A431" t="str">
        <f>"03640825 / 1"</f>
        <v>03640825 / 1</v>
      </c>
      <c r="B431" t="str">
        <f>"Folha Mensal"</f>
        <v>Folha Mensal</v>
      </c>
      <c r="C431" t="str">
        <f>"Edson Diego Nogueira Feitosa"</f>
        <v>Edson Diego Nogueira Feitosa</v>
      </c>
      <c r="D431" t="str">
        <f>"DAS 07"</f>
        <v>DAS 07</v>
      </c>
      <c r="E431" t="str">
        <f t="shared" si="40"/>
        <v>Comissionado</v>
      </c>
      <c r="F431" t="str">
        <f>"R$ 3.154,55"</f>
        <v>R$ 3.154,55</v>
      </c>
      <c r="G431" t="str">
        <f>"R$ 3.154,55"</f>
        <v>R$ 3.154,55</v>
      </c>
      <c r="H431" t="str">
        <f>"R$ 144,00"</f>
        <v>R$ 144,00</v>
      </c>
      <c r="I431" t="str">
        <f>"R$ 3.298,55"</f>
        <v>R$ 3.298,55</v>
      </c>
      <c r="J431" t="str">
        <f>"R$ 528,35"</f>
        <v>R$ 528,35</v>
      </c>
      <c r="K431" t="str">
        <f>"R$ 2.770,20"</f>
        <v>R$ 2.770,20</v>
      </c>
    </row>
    <row r="432" spans="1:11" x14ac:dyDescent="0.25">
      <c r="A432" t="str">
        <f>"03640450 / 1"</f>
        <v>03640450 / 1</v>
      </c>
      <c r="B432" t="str">
        <f>"13° Salário Anual"</f>
        <v>13° Salário Anual</v>
      </c>
      <c r="C432" t="str">
        <f>"Edson Neves de Vasconcelos"</f>
        <v>Edson Neves de Vasconcelos</v>
      </c>
      <c r="D432" t="str">
        <f>"DAS 06"</f>
        <v>DAS 06</v>
      </c>
      <c r="E432" t="str">
        <f t="shared" si="40"/>
        <v>Comissionado</v>
      </c>
      <c r="F432" t="str">
        <f>"R$ 2.427,00"</f>
        <v>R$ 2.427,00</v>
      </c>
      <c r="G432" t="str">
        <f>"R$ 2.427,00"</f>
        <v>R$ 2.427,00</v>
      </c>
      <c r="H432" t="str">
        <f>"R$ 0,00"</f>
        <v>R$ 0,00</v>
      </c>
      <c r="I432" t="str">
        <f>"R$ 2.427,00"</f>
        <v>R$ 2.427,00</v>
      </c>
      <c r="J432" t="str">
        <f>"R$ 1.422,13"</f>
        <v>R$ 1.422,13</v>
      </c>
      <c r="K432" t="str">
        <f>"R$ 1.004,87"</f>
        <v>R$ 1.004,87</v>
      </c>
    </row>
    <row r="433" spans="1:11" x14ac:dyDescent="0.25">
      <c r="A433" t="str">
        <f>"03640450 / 1"</f>
        <v>03640450 / 1</v>
      </c>
      <c r="B433" t="str">
        <f>"Folha Mensal"</f>
        <v>Folha Mensal</v>
      </c>
      <c r="C433" t="str">
        <f>"Edson Neves de Vasconcelos"</f>
        <v>Edson Neves de Vasconcelos</v>
      </c>
      <c r="D433" t="str">
        <f>"DAS 06"</f>
        <v>DAS 06</v>
      </c>
      <c r="E433" t="str">
        <f t="shared" si="40"/>
        <v>Comissionado</v>
      </c>
      <c r="F433" t="str">
        <f>"R$ 2.427,00"</f>
        <v>R$ 2.427,00</v>
      </c>
      <c r="G433" t="str">
        <f>"R$ 2.427,00"</f>
        <v>R$ 2.427,00</v>
      </c>
      <c r="H433" t="str">
        <f>"R$ 288,00"</f>
        <v>R$ 288,00</v>
      </c>
      <c r="I433" t="str">
        <f>"R$ 2.715,00"</f>
        <v>R$ 2.715,00</v>
      </c>
      <c r="J433" t="str">
        <f>"R$ 354,25"</f>
        <v>R$ 354,25</v>
      </c>
      <c r="K433" t="str">
        <f>"R$ 2.360,75"</f>
        <v>R$ 2.360,75</v>
      </c>
    </row>
    <row r="434" spans="1:11" x14ac:dyDescent="0.25">
      <c r="A434" t="str">
        <f>"03640868 / 1"</f>
        <v>03640868 / 1</v>
      </c>
      <c r="B434" t="str">
        <f>"13° Salário Anual"</f>
        <v>13° Salário Anual</v>
      </c>
      <c r="C434" t="str">
        <f>"Eduardo Henrique Sarmento Figueiredo"</f>
        <v>Eduardo Henrique Sarmento Figueiredo</v>
      </c>
      <c r="D434" t="str">
        <f>"DAS 07"</f>
        <v>DAS 07</v>
      </c>
      <c r="E434" t="str">
        <f t="shared" si="40"/>
        <v>Comissionado</v>
      </c>
      <c r="F434" t="str">
        <f>"R$ 3.154,55"</f>
        <v>R$ 3.154,55</v>
      </c>
      <c r="G434" t="str">
        <f>"R$ 2.891,67"</f>
        <v>R$ 2.891,67</v>
      </c>
      <c r="H434" t="str">
        <f t="shared" ref="H434:H465" si="41">"R$ 0,00"</f>
        <v>R$ 0,00</v>
      </c>
      <c r="I434" t="str">
        <f>"R$ 2.891,67"</f>
        <v>R$ 2.891,67</v>
      </c>
      <c r="J434" t="str">
        <f>"R$ 1.764,46"</f>
        <v>R$ 1.764,46</v>
      </c>
      <c r="K434" t="str">
        <f>"R$ 1.127,21"</f>
        <v>R$ 1.127,21</v>
      </c>
    </row>
    <row r="435" spans="1:11" x14ac:dyDescent="0.25">
      <c r="A435" t="str">
        <f>"03640868 / 1"</f>
        <v>03640868 / 1</v>
      </c>
      <c r="B435" t="str">
        <f>"Folha Mensal"</f>
        <v>Folha Mensal</v>
      </c>
      <c r="C435" t="str">
        <f>"Eduardo Henrique Sarmento Figueiredo"</f>
        <v>Eduardo Henrique Sarmento Figueiredo</v>
      </c>
      <c r="D435" t="str">
        <f>"DAS 07"</f>
        <v>DAS 07</v>
      </c>
      <c r="E435" t="str">
        <f t="shared" si="40"/>
        <v>Comissionado</v>
      </c>
      <c r="F435" t="str">
        <f>"R$ 3.154,55"</f>
        <v>R$ 3.154,55</v>
      </c>
      <c r="G435" t="str">
        <f>"R$ 3.154,55"</f>
        <v>R$ 3.154,55</v>
      </c>
      <c r="H435" t="str">
        <f t="shared" si="41"/>
        <v>R$ 0,00</v>
      </c>
      <c r="I435" t="str">
        <f>"R$ 3.154,55"</f>
        <v>R$ 3.154,55</v>
      </c>
      <c r="J435" t="str">
        <f>"R$ 369,92"</f>
        <v>R$ 369,92</v>
      </c>
      <c r="K435" t="str">
        <f>"R$ 2.784,63"</f>
        <v>R$ 2.784,63</v>
      </c>
    </row>
    <row r="436" spans="1:11" x14ac:dyDescent="0.25">
      <c r="A436" t="str">
        <f>"03640671 / 1"</f>
        <v>03640671 / 1</v>
      </c>
      <c r="B436" t="str">
        <f>"13° Salário Anual"</f>
        <v>13° Salário Anual</v>
      </c>
      <c r="C436" t="str">
        <f>"Eduardo Jorge Sille"</f>
        <v>Eduardo Jorge Sille</v>
      </c>
      <c r="D436" t="str">
        <f>"DAS 03 B"</f>
        <v>DAS 03 B</v>
      </c>
      <c r="E436" t="str">
        <f t="shared" si="40"/>
        <v>Comissionado</v>
      </c>
      <c r="F436" t="str">
        <f>"R$ 1.404,28"</f>
        <v>R$ 1.404,28</v>
      </c>
      <c r="G436" t="str">
        <f>"R$ 1.287,25"</f>
        <v>R$ 1.287,25</v>
      </c>
      <c r="H436" t="str">
        <f t="shared" si="41"/>
        <v>R$ 0,00</v>
      </c>
      <c r="I436" t="str">
        <f>"R$ 1.287,25"</f>
        <v>R$ 1.287,25</v>
      </c>
      <c r="J436" t="str">
        <f>"R$ 742,97"</f>
        <v>R$ 742,97</v>
      </c>
      <c r="K436" t="str">
        <f>"R$ 544,28"</f>
        <v>R$ 544,28</v>
      </c>
    </row>
    <row r="437" spans="1:11" x14ac:dyDescent="0.25">
      <c r="A437" t="str">
        <f>"03640671 / 1"</f>
        <v>03640671 / 1</v>
      </c>
      <c r="B437" t="str">
        <f>"Folha Mensal"</f>
        <v>Folha Mensal</v>
      </c>
      <c r="C437" t="str">
        <f>"Eduardo Jorge Sille"</f>
        <v>Eduardo Jorge Sille</v>
      </c>
      <c r="D437" t="str">
        <f>"DAS 03 B"</f>
        <v>DAS 03 B</v>
      </c>
      <c r="E437" t="str">
        <f t="shared" si="40"/>
        <v>Comissionado</v>
      </c>
      <c r="F437" t="str">
        <f>"R$ 1.404,28"</f>
        <v>R$ 1.404,28</v>
      </c>
      <c r="G437" t="str">
        <f>"R$ 1.404,28"</f>
        <v>R$ 1.404,28</v>
      </c>
      <c r="H437" t="str">
        <f t="shared" si="41"/>
        <v>R$ 0,00</v>
      </c>
      <c r="I437" t="str">
        <f>"R$ 1.404,28"</f>
        <v>R$ 1.404,28</v>
      </c>
      <c r="J437" t="str">
        <f>"R$ 109,88"</f>
        <v>R$ 109,88</v>
      </c>
      <c r="K437" t="str">
        <f>"R$ 1.294,40"</f>
        <v>R$ 1.294,40</v>
      </c>
    </row>
    <row r="438" spans="1:11" x14ac:dyDescent="0.25">
      <c r="A438" t="str">
        <f>"00008273 / 1"</f>
        <v>00008273 / 1</v>
      </c>
      <c r="B438" t="str">
        <f>"13° Salário Anual"</f>
        <v>13° Salário Anual</v>
      </c>
      <c r="C438" t="str">
        <f>"Elcir Cezar Gusmao"</f>
        <v>Elcir Cezar Gusmao</v>
      </c>
      <c r="D438" t="str">
        <f>"INT TEMP CONTRIBUICAO"</f>
        <v>INT TEMP CONTRIBUICAO</v>
      </c>
      <c r="E438" t="str">
        <f>"Efetivo-Inativo I- RJUSM"</f>
        <v>Efetivo-Inativo I- RJUSM</v>
      </c>
      <c r="F438" t="str">
        <f>"R$ 1.100,00"</f>
        <v>R$ 1.100,00</v>
      </c>
      <c r="G438" t="str">
        <f>"R$ 1.430,00"</f>
        <v>R$ 1.430,00</v>
      </c>
      <c r="H438" t="str">
        <f t="shared" si="41"/>
        <v>R$ 0,00</v>
      </c>
      <c r="I438" t="str">
        <f>"R$ 1.430,00"</f>
        <v>R$ 1.430,00</v>
      </c>
      <c r="J438" t="str">
        <f>"R$ 715,00"</f>
        <v>R$ 715,00</v>
      </c>
      <c r="K438" t="str">
        <f>"R$ 715,00"</f>
        <v>R$ 715,00</v>
      </c>
    </row>
    <row r="439" spans="1:11" x14ac:dyDescent="0.25">
      <c r="A439" t="str">
        <f>"00008273 / 1"</f>
        <v>00008273 / 1</v>
      </c>
      <c r="B439" t="str">
        <f>"Folha Mensal"</f>
        <v>Folha Mensal</v>
      </c>
      <c r="C439" t="str">
        <f>"Elcir Cezar Gusmao"</f>
        <v>Elcir Cezar Gusmao</v>
      </c>
      <c r="D439" t="str">
        <f>"INT TEMP CONTRIBUICAO"</f>
        <v>INT TEMP CONTRIBUICAO</v>
      </c>
      <c r="E439" t="str">
        <f>"Efetivo-Inativo I- RJUSM"</f>
        <v>Efetivo-Inativo I- RJUSM</v>
      </c>
      <c r="F439" t="str">
        <f>"R$ 1.100,00"</f>
        <v>R$ 1.100,00</v>
      </c>
      <c r="G439" t="str">
        <f>"R$ 1.430,00"</f>
        <v>R$ 1.430,00</v>
      </c>
      <c r="H439" t="str">
        <f t="shared" si="41"/>
        <v>R$ 0,00</v>
      </c>
      <c r="I439" t="str">
        <f>"R$ 1.430,00"</f>
        <v>R$ 1.430,00</v>
      </c>
      <c r="J439" t="str">
        <f>"R$ 424,41"</f>
        <v>R$ 424,41</v>
      </c>
      <c r="K439" t="str">
        <f>"R$ 1.005,59"</f>
        <v>R$ 1.005,59</v>
      </c>
    </row>
    <row r="440" spans="1:11" x14ac:dyDescent="0.25">
      <c r="A440" t="str">
        <f>"00003999 / 1"</f>
        <v>00003999 / 1</v>
      </c>
      <c r="B440" t="str">
        <f>"13° Salário Anual"</f>
        <v>13° Salário Anual</v>
      </c>
      <c r="C440" t="str">
        <f>"Eliana Maria do Rosario Nascimento"</f>
        <v>Eliana Maria do Rosario Nascimento</v>
      </c>
      <c r="D440" t="str">
        <f>"PROFESSOR"</f>
        <v>PROFESSOR</v>
      </c>
      <c r="E440" t="str">
        <f>"Efetivo-Inativo I- RJUSM"</f>
        <v>Efetivo-Inativo I- RJUSM</v>
      </c>
      <c r="F440" t="str">
        <f>"R$ 1.593,46"</f>
        <v>R$ 1.593,46</v>
      </c>
      <c r="G440" t="str">
        <f>"R$ 1.991,82"</f>
        <v>R$ 1.991,82</v>
      </c>
      <c r="H440" t="str">
        <f t="shared" si="41"/>
        <v>R$ 0,00</v>
      </c>
      <c r="I440" t="str">
        <f>"R$ 1.991,82"</f>
        <v>R$ 1.991,82</v>
      </c>
      <c r="J440" t="str">
        <f>"R$ 995,91"</f>
        <v>R$ 995,91</v>
      </c>
      <c r="K440" t="str">
        <f>"R$ 995,91"</f>
        <v>R$ 995,91</v>
      </c>
    </row>
    <row r="441" spans="1:11" x14ac:dyDescent="0.25">
      <c r="A441" t="str">
        <f>"00003999 / 1"</f>
        <v>00003999 / 1</v>
      </c>
      <c r="B441" t="str">
        <f>"Folha Mensal"</f>
        <v>Folha Mensal</v>
      </c>
      <c r="C441" t="str">
        <f>"Eliana Maria do Rosario Nascimento"</f>
        <v>Eliana Maria do Rosario Nascimento</v>
      </c>
      <c r="D441" t="str">
        <f>"PROFESSOR"</f>
        <v>PROFESSOR</v>
      </c>
      <c r="E441" t="str">
        <f>"Efetivo-Inativo I- RJUSM"</f>
        <v>Efetivo-Inativo I- RJUSM</v>
      </c>
      <c r="F441" t="str">
        <f>"R$ 1.593,46"</f>
        <v>R$ 1.593,46</v>
      </c>
      <c r="G441" t="str">
        <f>"R$ 1.991,82"</f>
        <v>R$ 1.991,82</v>
      </c>
      <c r="H441" t="str">
        <f t="shared" si="41"/>
        <v>R$ 0,00</v>
      </c>
      <c r="I441" t="str">
        <f>"R$ 1.991,82"</f>
        <v>R$ 1.991,82</v>
      </c>
      <c r="J441" t="str">
        <f>"R$ 692,72"</f>
        <v>R$ 692,72</v>
      </c>
      <c r="K441" t="str">
        <f>"R$ 1.299,10"</f>
        <v>R$ 1.299,10</v>
      </c>
    </row>
    <row r="442" spans="1:11" x14ac:dyDescent="0.25">
      <c r="A442" t="str">
        <f>"03640230 / 2"</f>
        <v>03640230 / 2</v>
      </c>
      <c r="B442" t="str">
        <f>"13° Salário Anual"</f>
        <v>13° Salário Anual</v>
      </c>
      <c r="C442" t="str">
        <f>"Eliana Maria Santana Pena"</f>
        <v>Eliana Maria Santana Pena</v>
      </c>
      <c r="D442" t="str">
        <f>"TECNICO MUNICIPAL"</f>
        <v>TECNICO MUNICIPAL</v>
      </c>
      <c r="E442" t="str">
        <f t="shared" ref="E442:E447" si="42">"Efetivo-Inativos II-RJUSM"</f>
        <v>Efetivo-Inativos II-RJUSM</v>
      </c>
      <c r="F442" t="str">
        <f>"R$ 1.067,33"</f>
        <v>R$ 1.067,33</v>
      </c>
      <c r="G442" t="str">
        <f>"R$ 1.067,33"</f>
        <v>R$ 1.067,33</v>
      </c>
      <c r="H442" t="str">
        <f t="shared" si="41"/>
        <v>R$ 0,00</v>
      </c>
      <c r="I442" t="str">
        <f>"R$ 1.067,33"</f>
        <v>R$ 1.067,33</v>
      </c>
      <c r="J442" t="str">
        <f>"R$ 533,66"</f>
        <v>R$ 533,66</v>
      </c>
      <c r="K442" t="str">
        <f>"R$ 533,67"</f>
        <v>R$ 533,67</v>
      </c>
    </row>
    <row r="443" spans="1:11" x14ac:dyDescent="0.25">
      <c r="A443" t="str">
        <f>"03640230 / 2"</f>
        <v>03640230 / 2</v>
      </c>
      <c r="B443" t="str">
        <f>"Folha Mensal"</f>
        <v>Folha Mensal</v>
      </c>
      <c r="C443" t="str">
        <f>"Eliana Maria Santana Pena"</f>
        <v>Eliana Maria Santana Pena</v>
      </c>
      <c r="D443" t="str">
        <f>"TECNICO MUNICIPAL"</f>
        <v>TECNICO MUNICIPAL</v>
      </c>
      <c r="E443" t="str">
        <f t="shared" si="42"/>
        <v>Efetivo-Inativos II-RJUSM</v>
      </c>
      <c r="F443" t="str">
        <f>"R$ 1.067,33"</f>
        <v>R$ 1.067,33</v>
      </c>
      <c r="G443" t="str">
        <f>"R$ 1.067,33"</f>
        <v>R$ 1.067,33</v>
      </c>
      <c r="H443" t="str">
        <f t="shared" si="41"/>
        <v>R$ 0,00</v>
      </c>
      <c r="I443" t="str">
        <f>"R$ 1.067,33"</f>
        <v>R$ 1.067,33</v>
      </c>
      <c r="J443" t="str">
        <f>"R$ 0,00"</f>
        <v>R$ 0,00</v>
      </c>
      <c r="K443" t="str">
        <f>"R$ 1.067,33"</f>
        <v>R$ 1.067,33</v>
      </c>
    </row>
    <row r="444" spans="1:11" x14ac:dyDescent="0.25">
      <c r="A444" t="str">
        <f>"00052612 / 1"</f>
        <v>00052612 / 1</v>
      </c>
      <c r="B444" t="str">
        <f>"13° Salário Anual"</f>
        <v>13° Salário Anual</v>
      </c>
      <c r="C444" t="str">
        <f>"Elida de Fatima Palheta Monteiro"</f>
        <v>Elida de Fatima Palheta Monteiro</v>
      </c>
      <c r="D444" t="str">
        <f>"PROFESSOR NIVEL II"</f>
        <v>PROFESSOR NIVEL II</v>
      </c>
      <c r="E444" t="str">
        <f t="shared" si="42"/>
        <v>Efetivo-Inativos II-RJUSM</v>
      </c>
      <c r="F444" t="str">
        <f>"R$ 5.258,43"</f>
        <v>R$ 5.258,43</v>
      </c>
      <c r="G444" t="str">
        <f>"R$ 6.310,11"</f>
        <v>R$ 6.310,11</v>
      </c>
      <c r="H444" t="str">
        <f t="shared" si="41"/>
        <v>R$ 0,00</v>
      </c>
      <c r="I444" t="str">
        <f>"R$ 6.310,11"</f>
        <v>R$ 6.310,11</v>
      </c>
      <c r="J444" t="str">
        <f>"R$ 3.532,97"</f>
        <v>R$ 3.532,97</v>
      </c>
      <c r="K444" t="str">
        <f>"R$ 2.777,14"</f>
        <v>R$ 2.777,14</v>
      </c>
    </row>
    <row r="445" spans="1:11" x14ac:dyDescent="0.25">
      <c r="A445" t="str">
        <f>"00052612 / 1"</f>
        <v>00052612 / 1</v>
      </c>
      <c r="B445" t="str">
        <f>"Folha Mensal"</f>
        <v>Folha Mensal</v>
      </c>
      <c r="C445" t="str">
        <f>"Elida de Fatima Palheta Monteiro"</f>
        <v>Elida de Fatima Palheta Monteiro</v>
      </c>
      <c r="D445" t="str">
        <f>"PROFESSOR NIVEL II"</f>
        <v>PROFESSOR NIVEL II</v>
      </c>
      <c r="E445" t="str">
        <f t="shared" si="42"/>
        <v>Efetivo-Inativos II-RJUSM</v>
      </c>
      <c r="F445" t="str">
        <f>"R$ 5.258,43"</f>
        <v>R$ 5.258,43</v>
      </c>
      <c r="G445" t="str">
        <f>"R$ 6.310,11"</f>
        <v>R$ 6.310,11</v>
      </c>
      <c r="H445" t="str">
        <f t="shared" si="41"/>
        <v>R$ 0,00</v>
      </c>
      <c r="I445" t="str">
        <f>"R$ 6.310,11"</f>
        <v>R$ 6.310,11</v>
      </c>
      <c r="J445" t="str">
        <f>"R$ 1.995,29"</f>
        <v>R$ 1.995,29</v>
      </c>
      <c r="K445" t="str">
        <f>"R$ 4.314,82"</f>
        <v>R$ 4.314,82</v>
      </c>
    </row>
    <row r="446" spans="1:11" x14ac:dyDescent="0.25">
      <c r="A446" t="str">
        <f>"00000400 / 1"</f>
        <v>00000400 / 1</v>
      </c>
      <c r="B446" t="str">
        <f>"13° Salário Anual"</f>
        <v>13° Salário Anual</v>
      </c>
      <c r="C446" t="str">
        <f>"Eliene da Silva Santos"</f>
        <v>Eliene da Silva Santos</v>
      </c>
      <c r="D446" t="str">
        <f>"PROFESSOR NIVEL III"</f>
        <v>PROFESSOR NIVEL III</v>
      </c>
      <c r="E446" t="str">
        <f t="shared" si="42"/>
        <v>Efetivo-Inativos II-RJUSM</v>
      </c>
      <c r="F446" t="str">
        <f>"R$ 4.541,37"</f>
        <v>R$ 4.541,37</v>
      </c>
      <c r="G446" t="str">
        <f>"R$ 5.903,78"</f>
        <v>R$ 5.903,78</v>
      </c>
      <c r="H446" t="str">
        <f t="shared" si="41"/>
        <v>R$ 0,00</v>
      </c>
      <c r="I446" t="str">
        <f>"R$ 5.903,78"</f>
        <v>R$ 5.903,78</v>
      </c>
      <c r="J446" t="str">
        <f>"R$ 3.215,71"</f>
        <v>R$ 3.215,71</v>
      </c>
      <c r="K446" t="str">
        <f>"R$ 2.688,07"</f>
        <v>R$ 2.688,07</v>
      </c>
    </row>
    <row r="447" spans="1:11" x14ac:dyDescent="0.25">
      <c r="A447" t="str">
        <f>"00000400 / 1"</f>
        <v>00000400 / 1</v>
      </c>
      <c r="B447" t="str">
        <f>"Folha Mensal"</f>
        <v>Folha Mensal</v>
      </c>
      <c r="C447" t="str">
        <f>"Eliene da Silva Santos"</f>
        <v>Eliene da Silva Santos</v>
      </c>
      <c r="D447" t="str">
        <f>"PROFESSOR NIVEL III"</f>
        <v>PROFESSOR NIVEL III</v>
      </c>
      <c r="E447" t="str">
        <f t="shared" si="42"/>
        <v>Efetivo-Inativos II-RJUSM</v>
      </c>
      <c r="F447" t="str">
        <f>"R$ 4.541,37"</f>
        <v>R$ 4.541,37</v>
      </c>
      <c r="G447" t="str">
        <f>"R$ 5.903,78"</f>
        <v>R$ 5.903,78</v>
      </c>
      <c r="H447" t="str">
        <f t="shared" si="41"/>
        <v>R$ 0,00</v>
      </c>
      <c r="I447" t="str">
        <f>"R$ 5.903,78"</f>
        <v>R$ 5.903,78</v>
      </c>
      <c r="J447" t="str">
        <f>"R$ 2.236,49"</f>
        <v>R$ 2.236,49</v>
      </c>
      <c r="K447" t="str">
        <f>"R$ 3.667,29"</f>
        <v>R$ 3.667,29</v>
      </c>
    </row>
    <row r="448" spans="1:11" x14ac:dyDescent="0.25">
      <c r="A448" t="str">
        <f>"03642232 / 1"</f>
        <v>03642232 / 1</v>
      </c>
      <c r="B448" t="str">
        <f>"13° Salário Anual"</f>
        <v>13° Salário Anual</v>
      </c>
      <c r="C448" t="str">
        <f>"Eliete Andrade Araujo"</f>
        <v>Eliete Andrade Araujo</v>
      </c>
      <c r="D448" t="str">
        <f>"PENSIONISTA"</f>
        <v>PENSIONISTA</v>
      </c>
      <c r="E448" t="str">
        <f>"Pensionista"</f>
        <v>Pensionista</v>
      </c>
      <c r="F448" t="str">
        <f>"R$ 1.394,57"</f>
        <v>R$ 1.394,57</v>
      </c>
      <c r="G448" t="str">
        <f>"R$ 1.673,48"</f>
        <v>R$ 1.673,48</v>
      </c>
      <c r="H448" t="str">
        <f t="shared" si="41"/>
        <v>R$ 0,00</v>
      </c>
      <c r="I448" t="str">
        <f>"R$ 1.673,48"</f>
        <v>R$ 1.673,48</v>
      </c>
      <c r="J448" t="str">
        <f>"R$ 986,74"</f>
        <v>R$ 986,74</v>
      </c>
      <c r="K448" t="str">
        <f>"R$ 686,74"</f>
        <v>R$ 686,74</v>
      </c>
    </row>
    <row r="449" spans="1:11" x14ac:dyDescent="0.25">
      <c r="A449" t="str">
        <f>"03642232 / 1"</f>
        <v>03642232 / 1</v>
      </c>
      <c r="B449" t="str">
        <f>"Folha Mensal"</f>
        <v>Folha Mensal</v>
      </c>
      <c r="C449" t="str">
        <f>"Eliete Andrade Araujo"</f>
        <v>Eliete Andrade Araujo</v>
      </c>
      <c r="D449" t="str">
        <f>"PENSIONISTA"</f>
        <v>PENSIONISTA</v>
      </c>
      <c r="E449" t="str">
        <f>"Pensionista"</f>
        <v>Pensionista</v>
      </c>
      <c r="F449" t="str">
        <f>"R$ 1.394,57"</f>
        <v>R$ 1.394,57</v>
      </c>
      <c r="G449" t="str">
        <f>"R$ 2.694,70"</f>
        <v>R$ 2.694,70</v>
      </c>
      <c r="H449" t="str">
        <f t="shared" si="41"/>
        <v>R$ 0,00</v>
      </c>
      <c r="I449" t="str">
        <f>"R$ 2.694,70"</f>
        <v>R$ 2.694,70</v>
      </c>
      <c r="J449" t="str">
        <f>"R$ 0,00"</f>
        <v>R$ 0,00</v>
      </c>
      <c r="K449" t="str">
        <f>"R$ 2.694,70"</f>
        <v>R$ 2.694,70</v>
      </c>
    </row>
    <row r="450" spans="1:11" x14ac:dyDescent="0.25">
      <c r="A450" t="str">
        <f>"03643093 / 1"</f>
        <v>03643093 / 1</v>
      </c>
      <c r="B450" t="str">
        <f>"13° Salário Anual"</f>
        <v>13° Salário Anual</v>
      </c>
      <c r="C450" t="str">
        <f>"Eliete Maria Mafra Lima"</f>
        <v>Eliete Maria Mafra Lima</v>
      </c>
      <c r="D450" t="str">
        <f>"PENSIONISTA"</f>
        <v>PENSIONISTA</v>
      </c>
      <c r="E450" t="str">
        <f>"Pensionista"</f>
        <v>Pensionista</v>
      </c>
      <c r="F450" t="str">
        <f>"R$ 1.100,00"</f>
        <v>R$ 1.100,00</v>
      </c>
      <c r="G450" t="str">
        <f>"R$ 1.100,00"</f>
        <v>R$ 1.100,00</v>
      </c>
      <c r="H450" t="str">
        <f t="shared" si="41"/>
        <v>R$ 0,00</v>
      </c>
      <c r="I450" t="str">
        <f>"R$ 1.100,00"</f>
        <v>R$ 1.100,00</v>
      </c>
      <c r="J450" t="str">
        <f>"R$ 550,00"</f>
        <v>R$ 550,00</v>
      </c>
      <c r="K450" t="str">
        <f>"R$ 550,00"</f>
        <v>R$ 550,00</v>
      </c>
    </row>
    <row r="451" spans="1:11" x14ac:dyDescent="0.25">
      <c r="A451" t="str">
        <f>"03643093 / 1"</f>
        <v>03643093 / 1</v>
      </c>
      <c r="B451" t="str">
        <f>"Folha Mensal"</f>
        <v>Folha Mensal</v>
      </c>
      <c r="C451" t="str">
        <f>"Eliete Maria Mafra Lima"</f>
        <v>Eliete Maria Mafra Lima</v>
      </c>
      <c r="D451" t="str">
        <f>"PENSIONISTA"</f>
        <v>PENSIONISTA</v>
      </c>
      <c r="E451" t="str">
        <f>"Pensionista"</f>
        <v>Pensionista</v>
      </c>
      <c r="F451" t="str">
        <f>"R$ 1.100,00"</f>
        <v>R$ 1.100,00</v>
      </c>
      <c r="G451" t="str">
        <f>"R$ 1.100,00"</f>
        <v>R$ 1.100,00</v>
      </c>
      <c r="H451" t="str">
        <f t="shared" si="41"/>
        <v>R$ 0,00</v>
      </c>
      <c r="I451" t="str">
        <f>"R$ 1.100,00"</f>
        <v>R$ 1.100,00</v>
      </c>
      <c r="J451" t="str">
        <f>"R$ 282,06"</f>
        <v>R$ 282,06</v>
      </c>
      <c r="K451" t="str">
        <f>"R$ 817,94"</f>
        <v>R$ 817,94</v>
      </c>
    </row>
    <row r="452" spans="1:11" x14ac:dyDescent="0.25">
      <c r="A452" t="str">
        <f>"00031186 / 1"</f>
        <v>00031186 / 1</v>
      </c>
      <c r="B452" t="str">
        <f>"13° Salário Anual"</f>
        <v>13° Salário Anual</v>
      </c>
      <c r="C452" t="str">
        <f>"Eline de Fatima Silva dos Santos"</f>
        <v>Eline de Fatima Silva dos Santos</v>
      </c>
      <c r="D452" t="str">
        <f>"PROFESSOR NIVEL II"</f>
        <v>PROFESSOR NIVEL II</v>
      </c>
      <c r="E452" t="str">
        <f>"Efetivo-Inativos II-RJUSM"</f>
        <v>Efetivo-Inativos II-RJUSM</v>
      </c>
      <c r="F452" t="str">
        <f>"R$ 5.577,14"</f>
        <v>R$ 5.577,14</v>
      </c>
      <c r="G452" t="str">
        <f>"R$ 6.971,42"</f>
        <v>R$ 6.971,42</v>
      </c>
      <c r="H452" t="str">
        <f t="shared" si="41"/>
        <v>R$ 0,00</v>
      </c>
      <c r="I452" t="str">
        <f>"R$ 6.971,42"</f>
        <v>R$ 6.971,42</v>
      </c>
      <c r="J452" t="str">
        <f>"R$ 3.607,56"</f>
        <v>R$ 3.607,56</v>
      </c>
      <c r="K452" t="str">
        <f>"R$ 3.363,86"</f>
        <v>R$ 3.363,86</v>
      </c>
    </row>
    <row r="453" spans="1:11" x14ac:dyDescent="0.25">
      <c r="A453" t="str">
        <f>"00031186 / 1"</f>
        <v>00031186 / 1</v>
      </c>
      <c r="B453" t="str">
        <f>"Folha Mensal"</f>
        <v>Folha Mensal</v>
      </c>
      <c r="C453" t="str">
        <f>"Eline de Fatima Silva dos Santos"</f>
        <v>Eline de Fatima Silva dos Santos</v>
      </c>
      <c r="D453" t="str">
        <f>"PROFESSOR NIVEL II"</f>
        <v>PROFESSOR NIVEL II</v>
      </c>
      <c r="E453" t="str">
        <f>"Efetivo-Inativos II-RJUSM"</f>
        <v>Efetivo-Inativos II-RJUSM</v>
      </c>
      <c r="F453" t="str">
        <f>"R$ 5.577,14"</f>
        <v>R$ 5.577,14</v>
      </c>
      <c r="G453" t="str">
        <f>"R$ 6.971,42"</f>
        <v>R$ 6.971,42</v>
      </c>
      <c r="H453" t="str">
        <f t="shared" si="41"/>
        <v>R$ 0,00</v>
      </c>
      <c r="I453" t="str">
        <f>"R$ 6.971,42"</f>
        <v>R$ 6.971,42</v>
      </c>
      <c r="J453" t="str">
        <f>"R$ 2.058,29"</f>
        <v>R$ 2.058,29</v>
      </c>
      <c r="K453" t="str">
        <f>"R$ 4.913,13"</f>
        <v>R$ 4.913,13</v>
      </c>
    </row>
    <row r="454" spans="1:11" x14ac:dyDescent="0.25">
      <c r="A454" t="str">
        <f>"00023574 / 1"</f>
        <v>00023574 / 1</v>
      </c>
      <c r="B454" t="str">
        <f>"13° Salário Anual"</f>
        <v>13° Salário Anual</v>
      </c>
      <c r="C454" t="str">
        <f>"Elinete Maria da Silva Figueiredo"</f>
        <v>Elinete Maria da Silva Figueiredo</v>
      </c>
      <c r="D454" t="str">
        <f>"PROFESSOR"</f>
        <v>PROFESSOR</v>
      </c>
      <c r="E454" t="str">
        <f t="shared" ref="E454:E461" si="43">"Efetivo-Inativo I- RJUSM"</f>
        <v>Efetivo-Inativo I- RJUSM</v>
      </c>
      <c r="F454" t="str">
        <f>"R$ 2.071,51"</f>
        <v>R$ 2.071,51</v>
      </c>
      <c r="G454" t="str">
        <f>"R$ 2.589,38"</f>
        <v>R$ 2.589,38</v>
      </c>
      <c r="H454" t="str">
        <f t="shared" si="41"/>
        <v>R$ 0,00</v>
      </c>
      <c r="I454" t="str">
        <f>"R$ 2.589,38"</f>
        <v>R$ 2.589,38</v>
      </c>
      <c r="J454" t="str">
        <f>"R$ 1.346,09"</f>
        <v>R$ 1.346,09</v>
      </c>
      <c r="K454" t="str">
        <f>"R$ 1.243,29"</f>
        <v>R$ 1.243,29</v>
      </c>
    </row>
    <row r="455" spans="1:11" x14ac:dyDescent="0.25">
      <c r="A455" t="str">
        <f>"00023574 / 1"</f>
        <v>00023574 / 1</v>
      </c>
      <c r="B455" t="str">
        <f>"Folha Mensal"</f>
        <v>Folha Mensal</v>
      </c>
      <c r="C455" t="str">
        <f>"Elinete Maria da Silva Figueiredo"</f>
        <v>Elinete Maria da Silva Figueiredo</v>
      </c>
      <c r="D455" t="str">
        <f>"PROFESSOR"</f>
        <v>PROFESSOR</v>
      </c>
      <c r="E455" t="str">
        <f t="shared" si="43"/>
        <v>Efetivo-Inativo I- RJUSM</v>
      </c>
      <c r="F455" t="str">
        <f>"R$ 2.071,51"</f>
        <v>R$ 2.071,51</v>
      </c>
      <c r="G455" t="str">
        <f>"R$ 2.589,38"</f>
        <v>R$ 2.589,38</v>
      </c>
      <c r="H455" t="str">
        <f t="shared" si="41"/>
        <v>R$ 0,00</v>
      </c>
      <c r="I455" t="str">
        <f>"R$ 2.589,38"</f>
        <v>R$ 2.589,38</v>
      </c>
      <c r="J455" t="str">
        <f>"R$ 935,67"</f>
        <v>R$ 935,67</v>
      </c>
      <c r="K455" t="str">
        <f>"R$ 1.653,71"</f>
        <v>R$ 1.653,71</v>
      </c>
    </row>
    <row r="456" spans="1:11" x14ac:dyDescent="0.25">
      <c r="A456" t="str">
        <f>"00024821 / 1"</f>
        <v>00024821 / 1</v>
      </c>
      <c r="B456" t="str">
        <f>"13° Salário Anual"</f>
        <v>13° Salário Anual</v>
      </c>
      <c r="C456" t="str">
        <f>"Eliza do Nascimento Pantoja"</f>
        <v>Eliza do Nascimento Pantoja</v>
      </c>
      <c r="D456" t="str">
        <f>"PROP IDADE"</f>
        <v>PROP IDADE</v>
      </c>
      <c r="E456" t="str">
        <f t="shared" si="43"/>
        <v>Efetivo-Inativo I- RJUSM</v>
      </c>
      <c r="F456" t="str">
        <f>"R$ 1.100,00"</f>
        <v>R$ 1.100,00</v>
      </c>
      <c r="G456" t="str">
        <f>"R$ 1.100,00"</f>
        <v>R$ 1.100,00</v>
      </c>
      <c r="H456" t="str">
        <f t="shared" si="41"/>
        <v>R$ 0,00</v>
      </c>
      <c r="I456" t="str">
        <f>"R$ 1.100,00"</f>
        <v>R$ 1.100,00</v>
      </c>
      <c r="J456" t="str">
        <f>"R$ 550,00"</f>
        <v>R$ 550,00</v>
      </c>
      <c r="K456" t="str">
        <f>"R$ 550,00"</f>
        <v>R$ 550,00</v>
      </c>
    </row>
    <row r="457" spans="1:11" x14ac:dyDescent="0.25">
      <c r="A457" t="str">
        <f>"00024821 / 1"</f>
        <v>00024821 / 1</v>
      </c>
      <c r="B457" t="str">
        <f>"Folha Mensal"</f>
        <v>Folha Mensal</v>
      </c>
      <c r="C457" t="str">
        <f>"Eliza do Nascimento Pantoja"</f>
        <v>Eliza do Nascimento Pantoja</v>
      </c>
      <c r="D457" t="str">
        <f>"PROP IDADE"</f>
        <v>PROP IDADE</v>
      </c>
      <c r="E457" t="str">
        <f t="shared" si="43"/>
        <v>Efetivo-Inativo I- RJUSM</v>
      </c>
      <c r="F457" t="str">
        <f>"R$ 1.100,00"</f>
        <v>R$ 1.100,00</v>
      </c>
      <c r="G457" t="str">
        <f>"R$ 1.100,00"</f>
        <v>R$ 1.100,00</v>
      </c>
      <c r="H457" t="str">
        <f t="shared" si="41"/>
        <v>R$ 0,00</v>
      </c>
      <c r="I457" t="str">
        <f>"R$ 1.100,00"</f>
        <v>R$ 1.100,00</v>
      </c>
      <c r="J457" t="str">
        <f>"R$ 0,00"</f>
        <v>R$ 0,00</v>
      </c>
      <c r="K457" t="str">
        <f>"R$ 1.100,00"</f>
        <v>R$ 1.100,00</v>
      </c>
    </row>
    <row r="458" spans="1:11" x14ac:dyDescent="0.25">
      <c r="A458" t="str">
        <f>"00026905 / 1"</f>
        <v>00026905 / 1</v>
      </c>
      <c r="B458" t="str">
        <f>"13° Salário Anual"</f>
        <v>13° Salário Anual</v>
      </c>
      <c r="C458" t="str">
        <f>"Elizabeth dos Santos Silva"</f>
        <v>Elizabeth dos Santos Silva</v>
      </c>
      <c r="D458" t="str">
        <f>"PROFESSOR NIVEL III"</f>
        <v>PROFESSOR NIVEL III</v>
      </c>
      <c r="E458" t="str">
        <f t="shared" si="43"/>
        <v>Efetivo-Inativo I- RJUSM</v>
      </c>
      <c r="F458" t="str">
        <f>"R$ 3.484,42"</f>
        <v>R$ 3.484,42</v>
      </c>
      <c r="G458" t="str">
        <f>"R$ 4.355,52"</f>
        <v>R$ 4.355,52</v>
      </c>
      <c r="H458" t="str">
        <f t="shared" si="41"/>
        <v>R$ 0,00</v>
      </c>
      <c r="I458" t="str">
        <f>"R$ 4.355,52"</f>
        <v>R$ 4.355,52</v>
      </c>
      <c r="J458" t="str">
        <f>"R$ 2.478,96"</f>
        <v>R$ 2.478,96</v>
      </c>
      <c r="K458" t="str">
        <f>"R$ 1.876,56"</f>
        <v>R$ 1.876,56</v>
      </c>
    </row>
    <row r="459" spans="1:11" x14ac:dyDescent="0.25">
      <c r="A459" t="str">
        <f>"00026905 / 1"</f>
        <v>00026905 / 1</v>
      </c>
      <c r="B459" t="str">
        <f>"Folha Mensal"</f>
        <v>Folha Mensal</v>
      </c>
      <c r="C459" t="str">
        <f>"Elizabeth dos Santos Silva"</f>
        <v>Elizabeth dos Santos Silva</v>
      </c>
      <c r="D459" t="str">
        <f>"PROFESSOR NIVEL III"</f>
        <v>PROFESSOR NIVEL III</v>
      </c>
      <c r="E459" t="str">
        <f t="shared" si="43"/>
        <v>Efetivo-Inativo I- RJUSM</v>
      </c>
      <c r="F459" t="str">
        <f>"R$ 3.484,42"</f>
        <v>R$ 3.484,42</v>
      </c>
      <c r="G459" t="str">
        <f>"R$ 4.355,52"</f>
        <v>R$ 4.355,52</v>
      </c>
      <c r="H459" t="str">
        <f t="shared" si="41"/>
        <v>R$ 0,00</v>
      </c>
      <c r="I459" t="str">
        <f>"R$ 4.355,52"</f>
        <v>R$ 4.355,52</v>
      </c>
      <c r="J459" t="str">
        <f>"R$ 1.462,07"</f>
        <v>R$ 1.462,07</v>
      </c>
      <c r="K459" t="str">
        <f>"R$ 2.893,45"</f>
        <v>R$ 2.893,45</v>
      </c>
    </row>
    <row r="460" spans="1:11" x14ac:dyDescent="0.25">
      <c r="A460" t="str">
        <f>"00306517 / 1"</f>
        <v>00306517 / 1</v>
      </c>
      <c r="B460" t="str">
        <f>"13° Salário Anual"</f>
        <v>13° Salário Anual</v>
      </c>
      <c r="C460" t="str">
        <f>"Elizabeth Monteiro Arraes Sindeaux"</f>
        <v>Elizabeth Monteiro Arraes Sindeaux</v>
      </c>
      <c r="D460" t="str">
        <f>"INT TEMP SERVICO"</f>
        <v>INT TEMP SERVICO</v>
      </c>
      <c r="E460" t="str">
        <f t="shared" si="43"/>
        <v>Efetivo-Inativo I- RJUSM</v>
      </c>
      <c r="F460" t="str">
        <f>"R$ 1.100,00"</f>
        <v>R$ 1.100,00</v>
      </c>
      <c r="G460" t="str">
        <f>"R$ 1.100,00"</f>
        <v>R$ 1.100,00</v>
      </c>
      <c r="H460" t="str">
        <f t="shared" si="41"/>
        <v>R$ 0,00</v>
      </c>
      <c r="I460" t="str">
        <f>"R$ 1.100,00"</f>
        <v>R$ 1.100,00</v>
      </c>
      <c r="J460" t="str">
        <f>"R$ 550,00"</f>
        <v>R$ 550,00</v>
      </c>
      <c r="K460" t="str">
        <f>"R$ 550,00"</f>
        <v>R$ 550,00</v>
      </c>
    </row>
    <row r="461" spans="1:11" x14ac:dyDescent="0.25">
      <c r="A461" t="str">
        <f>"00306517 / 1"</f>
        <v>00306517 / 1</v>
      </c>
      <c r="B461" t="str">
        <f>"Folha Mensal"</f>
        <v>Folha Mensal</v>
      </c>
      <c r="C461" t="str">
        <f>"Elizabeth Monteiro Arraes Sindeaux"</f>
        <v>Elizabeth Monteiro Arraes Sindeaux</v>
      </c>
      <c r="D461" t="str">
        <f>"INT TEMP SERVICO"</f>
        <v>INT TEMP SERVICO</v>
      </c>
      <c r="E461" t="str">
        <f t="shared" si="43"/>
        <v>Efetivo-Inativo I- RJUSM</v>
      </c>
      <c r="F461" t="str">
        <f>"R$ 1.100,00"</f>
        <v>R$ 1.100,00</v>
      </c>
      <c r="G461" t="str">
        <f>"R$ 1.100,00"</f>
        <v>R$ 1.100,00</v>
      </c>
      <c r="H461" t="str">
        <f t="shared" si="41"/>
        <v>R$ 0,00</v>
      </c>
      <c r="I461" t="str">
        <f>"R$ 1.100,00"</f>
        <v>R$ 1.100,00</v>
      </c>
      <c r="J461" t="str">
        <f>"R$ 313,38"</f>
        <v>R$ 313,38</v>
      </c>
      <c r="K461" t="str">
        <f>"R$ 786,62"</f>
        <v>R$ 786,62</v>
      </c>
    </row>
    <row r="462" spans="1:11" x14ac:dyDescent="0.25">
      <c r="A462" t="str">
        <f>"00004944 / 1"</f>
        <v>00004944 / 1</v>
      </c>
      <c r="B462" t="str">
        <f>"13° Salário Anual"</f>
        <v>13° Salário Anual</v>
      </c>
      <c r="C462" t="str">
        <f>"Elizabeth Monteiro dos Santos"</f>
        <v>Elizabeth Monteiro dos Santos</v>
      </c>
      <c r="D462" t="str">
        <f>"INT TEMP CONTRIBUICAO"</f>
        <v>INT TEMP CONTRIBUICAO</v>
      </c>
      <c r="E462" t="str">
        <f>"Efetivo-Inativos II-RJUSM"</f>
        <v>Efetivo-Inativos II-RJUSM</v>
      </c>
      <c r="F462" t="str">
        <f>"R$ 1.100,00"</f>
        <v>R$ 1.100,00</v>
      </c>
      <c r="G462" t="str">
        <f>"R$ 1.430,00"</f>
        <v>R$ 1.430,00</v>
      </c>
      <c r="H462" t="str">
        <f t="shared" si="41"/>
        <v>R$ 0,00</v>
      </c>
      <c r="I462" t="str">
        <f>"R$ 1.430,00"</f>
        <v>R$ 1.430,00</v>
      </c>
      <c r="J462" t="str">
        <f>"R$ 715,00"</f>
        <v>R$ 715,00</v>
      </c>
      <c r="K462" t="str">
        <f>"R$ 715,00"</f>
        <v>R$ 715,00</v>
      </c>
    </row>
    <row r="463" spans="1:11" x14ac:dyDescent="0.25">
      <c r="A463" t="str">
        <f>"00004944 / 1"</f>
        <v>00004944 / 1</v>
      </c>
      <c r="B463" t="str">
        <f>"Folha Mensal"</f>
        <v>Folha Mensal</v>
      </c>
      <c r="C463" t="str">
        <f>"Elizabeth Monteiro dos Santos"</f>
        <v>Elizabeth Monteiro dos Santos</v>
      </c>
      <c r="D463" t="str">
        <f>"INT TEMP CONTRIBUICAO"</f>
        <v>INT TEMP CONTRIBUICAO</v>
      </c>
      <c r="E463" t="str">
        <f>"Efetivo-Inativos II-RJUSM"</f>
        <v>Efetivo-Inativos II-RJUSM</v>
      </c>
      <c r="F463" t="str">
        <f>"R$ 1.100,00"</f>
        <v>R$ 1.100,00</v>
      </c>
      <c r="G463" t="str">
        <f>"R$ 1.430,00"</f>
        <v>R$ 1.430,00</v>
      </c>
      <c r="H463" t="str">
        <f t="shared" si="41"/>
        <v>R$ 0,00</v>
      </c>
      <c r="I463" t="str">
        <f>"R$ 1.430,00"</f>
        <v>R$ 1.430,00</v>
      </c>
      <c r="J463" t="str">
        <f>"R$ 0,00"</f>
        <v>R$ 0,00</v>
      </c>
      <c r="K463" t="str">
        <f>"R$ 1.430,00"</f>
        <v>R$ 1.430,00</v>
      </c>
    </row>
    <row r="464" spans="1:11" x14ac:dyDescent="0.25">
      <c r="A464" t="str">
        <f>"03643077 / 1"</f>
        <v>03643077 / 1</v>
      </c>
      <c r="B464" t="str">
        <f>"13° Salário Anual"</f>
        <v>13° Salário Anual</v>
      </c>
      <c r="C464" t="str">
        <f>"Elizete de Fatima Matos dos Santos"</f>
        <v>Elizete de Fatima Matos dos Santos</v>
      </c>
      <c r="D464" t="str">
        <f>"PENSIONISTA"</f>
        <v>PENSIONISTA</v>
      </c>
      <c r="E464" t="str">
        <f>"Pensionista"</f>
        <v>Pensionista</v>
      </c>
      <c r="F464" t="str">
        <f>"R$ 550,00"</f>
        <v>R$ 550,00</v>
      </c>
      <c r="G464" t="str">
        <f>"R$ 660,00"</f>
        <v>R$ 660,00</v>
      </c>
      <c r="H464" t="str">
        <f t="shared" si="41"/>
        <v>R$ 0,00</v>
      </c>
      <c r="I464" t="str">
        <f>"R$ 660,00"</f>
        <v>R$ 660,00</v>
      </c>
      <c r="J464" t="str">
        <f>"R$ 330,00"</f>
        <v>R$ 330,00</v>
      </c>
      <c r="K464" t="str">
        <f>"R$ 330,00"</f>
        <v>R$ 330,00</v>
      </c>
    </row>
    <row r="465" spans="1:11" x14ac:dyDescent="0.25">
      <c r="A465" t="str">
        <f>"03643077 / 1"</f>
        <v>03643077 / 1</v>
      </c>
      <c r="B465" t="str">
        <f>"Folha Mensal"</f>
        <v>Folha Mensal</v>
      </c>
      <c r="C465" t="str">
        <f>"Elizete de Fatima Matos dos Santos"</f>
        <v>Elizete de Fatima Matos dos Santos</v>
      </c>
      <c r="D465" t="str">
        <f>"PENSIONISTA"</f>
        <v>PENSIONISTA</v>
      </c>
      <c r="E465" t="str">
        <f>"Pensionista"</f>
        <v>Pensionista</v>
      </c>
      <c r="F465" t="str">
        <f>"R$ 550,00"</f>
        <v>R$ 550,00</v>
      </c>
      <c r="G465" t="str">
        <f>"R$ 660,00"</f>
        <v>R$ 660,00</v>
      </c>
      <c r="H465" t="str">
        <f t="shared" si="41"/>
        <v>R$ 0,00</v>
      </c>
      <c r="I465" t="str">
        <f>"R$ 660,00"</f>
        <v>R$ 660,00</v>
      </c>
      <c r="J465" t="str">
        <f>"R$ 166,73"</f>
        <v>R$ 166,73</v>
      </c>
      <c r="K465" t="str">
        <f>"R$ 493,27"</f>
        <v>R$ 493,27</v>
      </c>
    </row>
    <row r="466" spans="1:11" x14ac:dyDescent="0.25">
      <c r="A466" t="str">
        <f>"00044539 / 1"</f>
        <v>00044539 / 1</v>
      </c>
      <c r="B466" t="str">
        <f>"13° Salário Anual"</f>
        <v>13° Salário Anual</v>
      </c>
      <c r="C466" t="str">
        <f>"Elizete Mendonca de Oliveira"</f>
        <v>Elizete Mendonca de Oliveira</v>
      </c>
      <c r="D466" t="str">
        <f>"PROFESSOR"</f>
        <v>PROFESSOR</v>
      </c>
      <c r="E466" t="str">
        <f>"Efetivo-Inativo I- RJUSM"</f>
        <v>Efetivo-Inativo I- RJUSM</v>
      </c>
      <c r="F466" t="str">
        <f>"R$ 5.577,14"</f>
        <v>R$ 5.577,14</v>
      </c>
      <c r="G466" t="str">
        <f>"R$ 6.971,42"</f>
        <v>R$ 6.971,42</v>
      </c>
      <c r="H466" t="str">
        <f t="shared" ref="H466:H497" si="44">"R$ 0,00"</f>
        <v>R$ 0,00</v>
      </c>
      <c r="I466" t="str">
        <f>"R$ 6.971,42"</f>
        <v>R$ 6.971,42</v>
      </c>
      <c r="J466" t="str">
        <f>"R$ 4.621,83"</f>
        <v>R$ 4.621,83</v>
      </c>
      <c r="K466" t="str">
        <f>"R$ 2.349,59"</f>
        <v>R$ 2.349,59</v>
      </c>
    </row>
    <row r="467" spans="1:11" x14ac:dyDescent="0.25">
      <c r="A467" t="str">
        <f>"00044539 / 1"</f>
        <v>00044539 / 1</v>
      </c>
      <c r="B467" t="str">
        <f>"Folha Mensal"</f>
        <v>Folha Mensal</v>
      </c>
      <c r="C467" t="str">
        <f>"Elizete Mendonca de Oliveira"</f>
        <v>Elizete Mendonca de Oliveira</v>
      </c>
      <c r="D467" t="str">
        <f>"PROFESSOR"</f>
        <v>PROFESSOR</v>
      </c>
      <c r="E467" t="str">
        <f>"Efetivo-Inativo I- RJUSM"</f>
        <v>Efetivo-Inativo I- RJUSM</v>
      </c>
      <c r="F467" t="str">
        <f>"R$ 5.577,14"</f>
        <v>R$ 5.577,14</v>
      </c>
      <c r="G467" t="str">
        <f>"R$ 6.971,42"</f>
        <v>R$ 6.971,42</v>
      </c>
      <c r="H467" t="str">
        <f t="shared" si="44"/>
        <v>R$ 0,00</v>
      </c>
      <c r="I467" t="str">
        <f>"R$ 6.971,42"</f>
        <v>R$ 6.971,42</v>
      </c>
      <c r="J467" t="str">
        <f>"R$ 1.136,12"</f>
        <v>R$ 1.136,12</v>
      </c>
      <c r="K467" t="str">
        <f>"R$ 5.835,30"</f>
        <v>R$ 5.835,30</v>
      </c>
    </row>
    <row r="468" spans="1:11" x14ac:dyDescent="0.25">
      <c r="A468" t="str">
        <f>"03640515 / 1"</f>
        <v>03640515 / 1</v>
      </c>
      <c r="B468" t="str">
        <f>"13° Salário Anual"</f>
        <v>13° Salário Anual</v>
      </c>
      <c r="C468" t="str">
        <f>"Elizeth Ferreira dos Santos"</f>
        <v>Elizeth Ferreira dos Santos</v>
      </c>
      <c r="D468" t="str">
        <f>"DAS 07"</f>
        <v>DAS 07</v>
      </c>
      <c r="E468" t="str">
        <f>"Comissionado"</f>
        <v>Comissionado</v>
      </c>
      <c r="F468" t="str">
        <f>"R$ 3.154,55"</f>
        <v>R$ 3.154,55</v>
      </c>
      <c r="G468" t="str">
        <f>"R$ 3.154,55"</f>
        <v>R$ 3.154,55</v>
      </c>
      <c r="H468" t="str">
        <f t="shared" si="44"/>
        <v>R$ 0,00</v>
      </c>
      <c r="I468" t="str">
        <f>"R$ 3.154,55"</f>
        <v>R$ 3.154,55</v>
      </c>
      <c r="J468" t="str">
        <f>"R$ 1.947,19"</f>
        <v>R$ 1.947,19</v>
      </c>
      <c r="K468" t="str">
        <f>"R$ 1.207,36"</f>
        <v>R$ 1.207,36</v>
      </c>
    </row>
    <row r="469" spans="1:11" x14ac:dyDescent="0.25">
      <c r="A469" t="str">
        <f>"03640515 / 1"</f>
        <v>03640515 / 1</v>
      </c>
      <c r="B469" t="str">
        <f>"Folha Mensal"</f>
        <v>Folha Mensal</v>
      </c>
      <c r="C469" t="str">
        <f>"Elizeth Ferreira dos Santos"</f>
        <v>Elizeth Ferreira dos Santos</v>
      </c>
      <c r="D469" t="str">
        <f>"DAS 07"</f>
        <v>DAS 07</v>
      </c>
      <c r="E469" t="str">
        <f>"Comissionado"</f>
        <v>Comissionado</v>
      </c>
      <c r="F469" t="str">
        <f>"R$ 3.154,55"</f>
        <v>R$ 3.154,55</v>
      </c>
      <c r="G469" t="str">
        <f>"R$ 3.154,55"</f>
        <v>R$ 3.154,55</v>
      </c>
      <c r="H469" t="str">
        <f t="shared" si="44"/>
        <v>R$ 0,00</v>
      </c>
      <c r="I469" t="str">
        <f>"R$ 3.154,55"</f>
        <v>R$ 3.154,55</v>
      </c>
      <c r="J469" t="str">
        <f>"R$ 369,92"</f>
        <v>R$ 369,92</v>
      </c>
      <c r="K469" t="str">
        <f>"R$ 2.784,63"</f>
        <v>R$ 2.784,63</v>
      </c>
    </row>
    <row r="470" spans="1:11" x14ac:dyDescent="0.25">
      <c r="A470" t="str">
        <f>"03640663 / 1"</f>
        <v>03640663 / 1</v>
      </c>
      <c r="B470" t="str">
        <f>"13° Salário Anual"</f>
        <v>13° Salário Anual</v>
      </c>
      <c r="C470" t="str">
        <f>"Elizeu das Chagas Souza"</f>
        <v>Elizeu das Chagas Souza</v>
      </c>
      <c r="D470" t="str">
        <f>"DAS 03 B"</f>
        <v>DAS 03 B</v>
      </c>
      <c r="E470" t="str">
        <f>"Comissionado"</f>
        <v>Comissionado</v>
      </c>
      <c r="F470" t="str">
        <f>"R$ 1.404,28"</f>
        <v>R$ 1.404,28</v>
      </c>
      <c r="G470" t="str">
        <f>"R$ 1.287,25"</f>
        <v>R$ 1.287,25</v>
      </c>
      <c r="H470" t="str">
        <f t="shared" si="44"/>
        <v>R$ 0,00</v>
      </c>
      <c r="I470" t="str">
        <f>"R$ 1.287,25"</f>
        <v>R$ 1.287,25</v>
      </c>
      <c r="J470" t="str">
        <f>"R$ 742,97"</f>
        <v>R$ 742,97</v>
      </c>
      <c r="K470" t="str">
        <f>"R$ 544,28"</f>
        <v>R$ 544,28</v>
      </c>
    </row>
    <row r="471" spans="1:11" x14ac:dyDescent="0.25">
      <c r="A471" t="str">
        <f>"03640663 / 1"</f>
        <v>03640663 / 1</v>
      </c>
      <c r="B471" t="str">
        <f>"Folha Mensal"</f>
        <v>Folha Mensal</v>
      </c>
      <c r="C471" t="str">
        <f>"Elizeu das Chagas Souza"</f>
        <v>Elizeu das Chagas Souza</v>
      </c>
      <c r="D471" t="str">
        <f>"DAS 03 B"</f>
        <v>DAS 03 B</v>
      </c>
      <c r="E471" t="str">
        <f>"Comissionado"</f>
        <v>Comissionado</v>
      </c>
      <c r="F471" t="str">
        <f>"R$ 1.404,28"</f>
        <v>R$ 1.404,28</v>
      </c>
      <c r="G471" t="str">
        <f>"R$ 1.404,28"</f>
        <v>R$ 1.404,28</v>
      </c>
      <c r="H471" t="str">
        <f t="shared" si="44"/>
        <v>R$ 0,00</v>
      </c>
      <c r="I471" t="str">
        <f>"R$ 1.404,28"</f>
        <v>R$ 1.404,28</v>
      </c>
      <c r="J471" t="str">
        <f>"R$ 109,88"</f>
        <v>R$ 109,88</v>
      </c>
      <c r="K471" t="str">
        <f>"R$ 1.294,40"</f>
        <v>R$ 1.294,40</v>
      </c>
    </row>
    <row r="472" spans="1:11" x14ac:dyDescent="0.25">
      <c r="A472" t="str">
        <f>"00024449 / 1"</f>
        <v>00024449 / 1</v>
      </c>
      <c r="B472" t="str">
        <f>"13° Salário Anual"</f>
        <v>13° Salário Anual</v>
      </c>
      <c r="C472" t="str">
        <f>"Eloisa Helena Gonçalves Barreto"</f>
        <v>Eloisa Helena Gonçalves Barreto</v>
      </c>
      <c r="D472" t="str">
        <f>"PROFESSOR"</f>
        <v>PROFESSOR</v>
      </c>
      <c r="E472" t="str">
        <f>"Efetivo-Inativo I- RJUSM"</f>
        <v>Efetivo-Inativo I- RJUSM</v>
      </c>
      <c r="F472" t="str">
        <f>"R$ 5.577,14"</f>
        <v>R$ 5.577,14</v>
      </c>
      <c r="G472" t="str">
        <f>"R$ 6.971,42"</f>
        <v>R$ 6.971,42</v>
      </c>
      <c r="H472" t="str">
        <f t="shared" si="44"/>
        <v>R$ 0,00</v>
      </c>
      <c r="I472" t="str">
        <f>"R$ 6.971,42"</f>
        <v>R$ 6.971,42</v>
      </c>
      <c r="J472" t="str">
        <f>"R$ 4.621,83"</f>
        <v>R$ 4.621,83</v>
      </c>
      <c r="K472" t="str">
        <f>"R$ 2.349,59"</f>
        <v>R$ 2.349,59</v>
      </c>
    </row>
    <row r="473" spans="1:11" x14ac:dyDescent="0.25">
      <c r="A473" t="str">
        <f>"00024449 / 1"</f>
        <v>00024449 / 1</v>
      </c>
      <c r="B473" t="str">
        <f>"Folha Mensal"</f>
        <v>Folha Mensal</v>
      </c>
      <c r="C473" t="str">
        <f>"Eloisa Helena Gonçalves Barreto"</f>
        <v>Eloisa Helena Gonçalves Barreto</v>
      </c>
      <c r="D473" t="str">
        <f>"PROFESSOR"</f>
        <v>PROFESSOR</v>
      </c>
      <c r="E473" t="str">
        <f>"Efetivo-Inativo I- RJUSM"</f>
        <v>Efetivo-Inativo I- RJUSM</v>
      </c>
      <c r="F473" t="str">
        <f>"R$ 5.577,14"</f>
        <v>R$ 5.577,14</v>
      </c>
      <c r="G473" t="str">
        <f>"R$ 6.971,42"</f>
        <v>R$ 6.971,42</v>
      </c>
      <c r="H473" t="str">
        <f t="shared" si="44"/>
        <v>R$ 0,00</v>
      </c>
      <c r="I473" t="str">
        <f>"R$ 6.971,42"</f>
        <v>R$ 6.971,42</v>
      </c>
      <c r="J473" t="str">
        <f>"R$ 2.934,96"</f>
        <v>R$ 2.934,96</v>
      </c>
      <c r="K473" t="str">
        <f>"R$ 4.036,46"</f>
        <v>R$ 4.036,46</v>
      </c>
    </row>
    <row r="474" spans="1:11" x14ac:dyDescent="0.25">
      <c r="A474" t="str">
        <f>"03640248 / 2"</f>
        <v>03640248 / 2</v>
      </c>
      <c r="B474" t="str">
        <f>"13° Salário Anual"</f>
        <v>13° Salário Anual</v>
      </c>
      <c r="C474" t="str">
        <f>"Elson Jaques Pereira"</f>
        <v>Elson Jaques Pereira</v>
      </c>
      <c r="D474" t="str">
        <f>"PROFESSOR NIVEL V"</f>
        <v>PROFESSOR NIVEL V</v>
      </c>
      <c r="E474" t="str">
        <f>"Efetivo-Inativos II-RJUSM"</f>
        <v>Efetivo-Inativos II-RJUSM</v>
      </c>
      <c r="F474" t="str">
        <f>"R$ 6.369,89"</f>
        <v>R$ 6.369,89</v>
      </c>
      <c r="G474" t="str">
        <f>"R$ 7.006,87"</f>
        <v>R$ 7.006,87</v>
      </c>
      <c r="H474" t="str">
        <f t="shared" si="44"/>
        <v>R$ 0,00</v>
      </c>
      <c r="I474" t="str">
        <f>"R$ 7.006,87"</f>
        <v>R$ 7.006,87</v>
      </c>
      <c r="J474" t="str">
        <f>"R$ 3.630,24"</f>
        <v>R$ 3.630,24</v>
      </c>
      <c r="K474" t="str">
        <f>"R$ 3.376,63"</f>
        <v>R$ 3.376,63</v>
      </c>
    </row>
    <row r="475" spans="1:11" x14ac:dyDescent="0.25">
      <c r="A475" t="str">
        <f>"03640248 / 2"</f>
        <v>03640248 / 2</v>
      </c>
      <c r="B475" t="str">
        <f>"Folha Mensal"</f>
        <v>Folha Mensal</v>
      </c>
      <c r="C475" t="str">
        <f>"Elson Jaques Pereira"</f>
        <v>Elson Jaques Pereira</v>
      </c>
      <c r="D475" t="str">
        <f>"PROFESSOR NIVEL V"</f>
        <v>PROFESSOR NIVEL V</v>
      </c>
      <c r="E475" t="str">
        <f>"Efetivo-Inativos II-RJUSM"</f>
        <v>Efetivo-Inativos II-RJUSM</v>
      </c>
      <c r="F475" t="str">
        <f>"R$ 6.369,89"</f>
        <v>R$ 6.369,89</v>
      </c>
      <c r="G475" t="str">
        <f>"R$ 7.006,87"</f>
        <v>R$ 7.006,87</v>
      </c>
      <c r="H475" t="str">
        <f t="shared" si="44"/>
        <v>R$ 0,00</v>
      </c>
      <c r="I475" t="str">
        <f>"R$ 7.006,87"</f>
        <v>R$ 7.006,87</v>
      </c>
      <c r="J475" t="str">
        <f>"R$ 2.189,87"</f>
        <v>R$ 2.189,87</v>
      </c>
      <c r="K475" t="str">
        <f>"R$ 4.817,00"</f>
        <v>R$ 4.817,00</v>
      </c>
    </row>
    <row r="476" spans="1:11" x14ac:dyDescent="0.25">
      <c r="A476" t="str">
        <f>"00173436 / 1"</f>
        <v>00173436 / 1</v>
      </c>
      <c r="B476" t="str">
        <f>"13° Salário Anual"</f>
        <v>13° Salário Anual</v>
      </c>
      <c r="C476" t="str">
        <f>"Elton Almeida Araujo"</f>
        <v>Elton Almeida Araujo</v>
      </c>
      <c r="D476" t="str">
        <f>"INT TEMP CONTRIBUICAO"</f>
        <v>INT TEMP CONTRIBUICAO</v>
      </c>
      <c r="E476" t="str">
        <f>"Efetivo-Inativos II-RJUSM"</f>
        <v>Efetivo-Inativos II-RJUSM</v>
      </c>
      <c r="F476" t="str">
        <f>"R$ 1.100,00"</f>
        <v>R$ 1.100,00</v>
      </c>
      <c r="G476" t="str">
        <f>"R$ 1.100,00"</f>
        <v>R$ 1.100,00</v>
      </c>
      <c r="H476" t="str">
        <f t="shared" si="44"/>
        <v>R$ 0,00</v>
      </c>
      <c r="I476" t="str">
        <f>"R$ 1.100,00"</f>
        <v>R$ 1.100,00</v>
      </c>
      <c r="J476" t="str">
        <f>"R$ 550,00"</f>
        <v>R$ 550,00</v>
      </c>
      <c r="K476" t="str">
        <f>"R$ 550,00"</f>
        <v>R$ 550,00</v>
      </c>
    </row>
    <row r="477" spans="1:11" x14ac:dyDescent="0.25">
      <c r="A477" t="str">
        <f>"00173436 / 1"</f>
        <v>00173436 / 1</v>
      </c>
      <c r="B477" t="str">
        <f>"Folha Mensal"</f>
        <v>Folha Mensal</v>
      </c>
      <c r="C477" t="str">
        <f>"Elton Almeida Araujo"</f>
        <v>Elton Almeida Araujo</v>
      </c>
      <c r="D477" t="str">
        <f>"INT TEMP CONTRIBUICAO"</f>
        <v>INT TEMP CONTRIBUICAO</v>
      </c>
      <c r="E477" t="str">
        <f>"Efetivo-Inativos II-RJUSM"</f>
        <v>Efetivo-Inativos II-RJUSM</v>
      </c>
      <c r="F477" t="str">
        <f>"R$ 1.100,00"</f>
        <v>R$ 1.100,00</v>
      </c>
      <c r="G477" t="str">
        <f>"R$ 1.100,00"</f>
        <v>R$ 1.100,00</v>
      </c>
      <c r="H477" t="str">
        <f t="shared" si="44"/>
        <v>R$ 0,00</v>
      </c>
      <c r="I477" t="str">
        <f>"R$ 1.100,00"</f>
        <v>R$ 1.100,00</v>
      </c>
      <c r="J477" t="str">
        <f>"R$ 0,00"</f>
        <v>R$ 0,00</v>
      </c>
      <c r="K477" t="str">
        <f>"R$ 1.100,00"</f>
        <v>R$ 1.100,00</v>
      </c>
    </row>
    <row r="478" spans="1:11" x14ac:dyDescent="0.25">
      <c r="A478" t="str">
        <f>"00004030 / 1"</f>
        <v>00004030 / 1</v>
      </c>
      <c r="B478" t="str">
        <f>"13° Salário Anual"</f>
        <v>13° Salário Anual</v>
      </c>
      <c r="C478" t="str">
        <f>"Elvira Sousa da Silva"</f>
        <v>Elvira Sousa da Silva</v>
      </c>
      <c r="D478" t="str">
        <f>"PROFESSOR"</f>
        <v>PROFESSOR</v>
      </c>
      <c r="E478" t="str">
        <f>"Efetivo-Inativo I- RJUSM"</f>
        <v>Efetivo-Inativo I- RJUSM</v>
      </c>
      <c r="F478" t="str">
        <f>"R$ 1.593,46"</f>
        <v>R$ 1.593,46</v>
      </c>
      <c r="G478" t="str">
        <f>"R$ 1.912,15"</f>
        <v>R$ 1.912,15</v>
      </c>
      <c r="H478" t="str">
        <f t="shared" si="44"/>
        <v>R$ 0,00</v>
      </c>
      <c r="I478" t="str">
        <f>"R$ 1.912,15"</f>
        <v>R$ 1.912,15</v>
      </c>
      <c r="J478" t="str">
        <f>"R$ 956,07"</f>
        <v>R$ 956,07</v>
      </c>
      <c r="K478" t="str">
        <f>"R$ 956,08"</f>
        <v>R$ 956,08</v>
      </c>
    </row>
    <row r="479" spans="1:11" x14ac:dyDescent="0.25">
      <c r="A479" t="str">
        <f>"00004030 / 1"</f>
        <v>00004030 / 1</v>
      </c>
      <c r="B479" t="str">
        <f>"Folha Mensal"</f>
        <v>Folha Mensal</v>
      </c>
      <c r="C479" t="str">
        <f>"Elvira Sousa da Silva"</f>
        <v>Elvira Sousa da Silva</v>
      </c>
      <c r="D479" t="str">
        <f>"PROFESSOR"</f>
        <v>PROFESSOR</v>
      </c>
      <c r="E479" t="str">
        <f>"Efetivo-Inativo I- RJUSM"</f>
        <v>Efetivo-Inativo I- RJUSM</v>
      </c>
      <c r="F479" t="str">
        <f>"R$ 1.593,46"</f>
        <v>R$ 1.593,46</v>
      </c>
      <c r="G479" t="str">
        <f>"R$ 1.912,15"</f>
        <v>R$ 1.912,15</v>
      </c>
      <c r="H479" t="str">
        <f t="shared" si="44"/>
        <v>R$ 0,00</v>
      </c>
      <c r="I479" t="str">
        <f>"R$ 1.912,15"</f>
        <v>R$ 1.912,15</v>
      </c>
      <c r="J479" t="str">
        <f>"R$ 0,00"</f>
        <v>R$ 0,00</v>
      </c>
      <c r="K479" t="str">
        <f>"R$ 1.912,15"</f>
        <v>R$ 1.912,15</v>
      </c>
    </row>
    <row r="480" spans="1:11" x14ac:dyDescent="0.25">
      <c r="A480" t="str">
        <f>"00014184 / 1"</f>
        <v>00014184 / 1</v>
      </c>
      <c r="B480" t="str">
        <f>"13° Salário Anual"</f>
        <v>13° Salário Anual</v>
      </c>
      <c r="C480" t="str">
        <f>"Elza Maria de Sousa Mesquita"</f>
        <v>Elza Maria de Sousa Mesquita</v>
      </c>
      <c r="D480" t="str">
        <f>"PROFESSOR"</f>
        <v>PROFESSOR</v>
      </c>
      <c r="E480" t="str">
        <f>"Efetivo-Inativo I- RJUSM"</f>
        <v>Efetivo-Inativo I- RJUSM</v>
      </c>
      <c r="F480" t="str">
        <f>"R$ 1.593,46"</f>
        <v>R$ 1.593,46</v>
      </c>
      <c r="G480" t="str">
        <f>"R$ 1.991,82"</f>
        <v>R$ 1.991,82</v>
      </c>
      <c r="H480" t="str">
        <f t="shared" si="44"/>
        <v>R$ 0,00</v>
      </c>
      <c r="I480" t="str">
        <f>"R$ 1.991,82"</f>
        <v>R$ 1.991,82</v>
      </c>
      <c r="J480" t="str">
        <f>"R$ 995,91"</f>
        <v>R$ 995,91</v>
      </c>
      <c r="K480" t="str">
        <f>"R$ 995,91"</f>
        <v>R$ 995,91</v>
      </c>
    </row>
    <row r="481" spans="1:11" x14ac:dyDescent="0.25">
      <c r="A481" t="str">
        <f>"00014184 / 1"</f>
        <v>00014184 / 1</v>
      </c>
      <c r="B481" t="str">
        <f>"Folha Mensal"</f>
        <v>Folha Mensal</v>
      </c>
      <c r="C481" t="str">
        <f>"Elza Maria de Sousa Mesquita"</f>
        <v>Elza Maria de Sousa Mesquita</v>
      </c>
      <c r="D481" t="str">
        <f>"PROFESSOR"</f>
        <v>PROFESSOR</v>
      </c>
      <c r="E481" t="str">
        <f>"Efetivo-Inativo I- RJUSM"</f>
        <v>Efetivo-Inativo I- RJUSM</v>
      </c>
      <c r="F481" t="str">
        <f>"R$ 1.593,46"</f>
        <v>R$ 1.593,46</v>
      </c>
      <c r="G481" t="str">
        <f>"R$ 1.991,82"</f>
        <v>R$ 1.991,82</v>
      </c>
      <c r="H481" t="str">
        <f t="shared" si="44"/>
        <v>R$ 0,00</v>
      </c>
      <c r="I481" t="str">
        <f>"R$ 1.991,82"</f>
        <v>R$ 1.991,82</v>
      </c>
      <c r="J481" t="str">
        <f>"R$ 576,98"</f>
        <v>R$ 576,98</v>
      </c>
      <c r="K481" t="str">
        <f>"R$ 1.414,84"</f>
        <v>R$ 1.414,84</v>
      </c>
    </row>
    <row r="482" spans="1:11" x14ac:dyDescent="0.25">
      <c r="A482" t="str">
        <f>"03640019 / 1"</f>
        <v>03640019 / 1</v>
      </c>
      <c r="B482" t="str">
        <f>"13° Salário Anual"</f>
        <v>13° Salário Anual</v>
      </c>
      <c r="C482" t="str">
        <f>"Elza Maria Pinho Palheta Feitosa"</f>
        <v>Elza Maria Pinho Palheta Feitosa</v>
      </c>
      <c r="D482" t="str">
        <f>"PROFESSOR NIVEL III"</f>
        <v>PROFESSOR NIVEL III</v>
      </c>
      <c r="E482" t="str">
        <f>"Efetivo-Inativos II-RJUSM"</f>
        <v>Efetivo-Inativos II-RJUSM</v>
      </c>
      <c r="F482" t="str">
        <f>"R$ 5.736,47"</f>
        <v>R$ 5.736,47</v>
      </c>
      <c r="G482" t="str">
        <f>"R$ 9.178,35"</f>
        <v>R$ 9.178,35</v>
      </c>
      <c r="H482" t="str">
        <f t="shared" si="44"/>
        <v>R$ 0,00</v>
      </c>
      <c r="I482" t="str">
        <f>"R$ 9.178,35"</f>
        <v>R$ 9.178,35</v>
      </c>
      <c r="J482" t="str">
        <f>"R$ 6.556,20"</f>
        <v>R$ 6.556,20</v>
      </c>
      <c r="K482" t="str">
        <f>"R$ 2.622,15"</f>
        <v>R$ 2.622,15</v>
      </c>
    </row>
    <row r="483" spans="1:11" x14ac:dyDescent="0.25">
      <c r="A483" t="str">
        <f>"03640019 / 1"</f>
        <v>03640019 / 1</v>
      </c>
      <c r="B483" t="str">
        <f>"Folha Mensal"</f>
        <v>Folha Mensal</v>
      </c>
      <c r="C483" t="str">
        <f>"Elza Maria Pinho Palheta Feitosa"</f>
        <v>Elza Maria Pinho Palheta Feitosa</v>
      </c>
      <c r="D483" t="str">
        <f>"PROFESSOR NIVEL III"</f>
        <v>PROFESSOR NIVEL III</v>
      </c>
      <c r="E483" t="str">
        <f>"Efetivo-Inativos II-RJUSM"</f>
        <v>Efetivo-Inativos II-RJUSM</v>
      </c>
      <c r="F483" t="str">
        <f>"R$ 5.736,47"</f>
        <v>R$ 5.736,47</v>
      </c>
      <c r="G483" t="str">
        <f>"R$ 11.472,93"</f>
        <v>R$ 11.472,93</v>
      </c>
      <c r="H483" t="str">
        <f t="shared" si="44"/>
        <v>R$ 0,00</v>
      </c>
      <c r="I483" t="str">
        <f>"R$ 11.472,93"</f>
        <v>R$ 11.472,93</v>
      </c>
      <c r="J483" t="str">
        <f>"R$ 2.830,93"</f>
        <v>R$ 2.830,93</v>
      </c>
      <c r="K483" t="str">
        <f>"R$ 8.642,00"</f>
        <v>R$ 8.642,00</v>
      </c>
    </row>
    <row r="484" spans="1:11" x14ac:dyDescent="0.25">
      <c r="A484" t="str">
        <f>"03640698 / 1"</f>
        <v>03640698 / 1</v>
      </c>
      <c r="B484" t="str">
        <f>"13° Salário Anual"</f>
        <v>13° Salário Anual</v>
      </c>
      <c r="C484" t="str">
        <f>"Emanuelle Cristina do Nascimento Batista"</f>
        <v>Emanuelle Cristina do Nascimento Batista</v>
      </c>
      <c r="D484" t="str">
        <f>"DAS 08"</f>
        <v>DAS 08</v>
      </c>
      <c r="E484" t="str">
        <f>"Comissionado"</f>
        <v>Comissionado</v>
      </c>
      <c r="F484" t="str">
        <f>"R$ 4.200,00"</f>
        <v>R$ 4.200,00</v>
      </c>
      <c r="G484" t="str">
        <f>"R$ 3.850,00"</f>
        <v>R$ 3.850,00</v>
      </c>
      <c r="H484" t="str">
        <f t="shared" si="44"/>
        <v>R$ 0,00</v>
      </c>
      <c r="I484" t="str">
        <f>"R$ 3.850,00"</f>
        <v>R$ 3.850,00</v>
      </c>
      <c r="J484" t="str">
        <f>"R$ 2.450,99"</f>
        <v>R$ 2.450,99</v>
      </c>
      <c r="K484" t="str">
        <f>"R$ 1.399,01"</f>
        <v>R$ 1.399,01</v>
      </c>
    </row>
    <row r="485" spans="1:11" x14ac:dyDescent="0.25">
      <c r="A485" t="str">
        <f>"03640698 / 1"</f>
        <v>03640698 / 1</v>
      </c>
      <c r="B485" t="str">
        <f>"Folha Mensal"</f>
        <v>Folha Mensal</v>
      </c>
      <c r="C485" t="str">
        <f>"Emanuelle Cristina do Nascimento Batista"</f>
        <v>Emanuelle Cristina do Nascimento Batista</v>
      </c>
      <c r="D485" t="str">
        <f>"DAS 08"</f>
        <v>DAS 08</v>
      </c>
      <c r="E485" t="str">
        <f>"Comissionado"</f>
        <v>Comissionado</v>
      </c>
      <c r="F485" t="str">
        <f>"R$ 4.200,00"</f>
        <v>R$ 4.200,00</v>
      </c>
      <c r="G485" t="str">
        <f>"R$ 4.200,00"</f>
        <v>R$ 4.200,00</v>
      </c>
      <c r="H485" t="str">
        <f t="shared" si="44"/>
        <v>R$ 0,00</v>
      </c>
      <c r="I485" t="str">
        <f>"R$ 4.200,00"</f>
        <v>R$ 4.200,00</v>
      </c>
      <c r="J485" t="str">
        <f>"R$ 620,14"</f>
        <v>R$ 620,14</v>
      </c>
      <c r="K485" t="str">
        <f>"R$ 3.579,86"</f>
        <v>R$ 3.579,86</v>
      </c>
    </row>
    <row r="486" spans="1:11" x14ac:dyDescent="0.25">
      <c r="A486" t="str">
        <f>"00054399 / 2"</f>
        <v>00054399 / 2</v>
      </c>
      <c r="B486" t="str">
        <f>"13° Salário Anual"</f>
        <v>13° Salário Anual</v>
      </c>
      <c r="C486" t="str">
        <f>"Emerson Giordane Medeiros da Silva"</f>
        <v>Emerson Giordane Medeiros da Silva</v>
      </c>
      <c r="D486" t="str">
        <f>"PROP INVALIDEZ"</f>
        <v>PROP INVALIDEZ</v>
      </c>
      <c r="E486" t="str">
        <f>"Efetivo-Inativos II-RJUSM"</f>
        <v>Efetivo-Inativos II-RJUSM</v>
      </c>
      <c r="F486" t="str">
        <f>"R$ 1.100,00"</f>
        <v>R$ 1.100,00</v>
      </c>
      <c r="G486" t="str">
        <f>"R$ 1.100,00"</f>
        <v>R$ 1.100,00</v>
      </c>
      <c r="H486" t="str">
        <f t="shared" si="44"/>
        <v>R$ 0,00</v>
      </c>
      <c r="I486" t="str">
        <f>"R$ 1.100,00"</f>
        <v>R$ 1.100,00</v>
      </c>
      <c r="J486" t="str">
        <f>"R$ 550,00"</f>
        <v>R$ 550,00</v>
      </c>
      <c r="K486" t="str">
        <f>"R$ 550,00"</f>
        <v>R$ 550,00</v>
      </c>
    </row>
    <row r="487" spans="1:11" x14ac:dyDescent="0.25">
      <c r="A487" t="str">
        <f>"00054399 / 2"</f>
        <v>00054399 / 2</v>
      </c>
      <c r="B487" t="str">
        <f>"Folha Mensal"</f>
        <v>Folha Mensal</v>
      </c>
      <c r="C487" t="str">
        <f>"Emerson Giordane Medeiros da Silva"</f>
        <v>Emerson Giordane Medeiros da Silva</v>
      </c>
      <c r="D487" t="str">
        <f>"PROP INVALIDEZ"</f>
        <v>PROP INVALIDEZ</v>
      </c>
      <c r="E487" t="str">
        <f>"Efetivo-Inativos II-RJUSM"</f>
        <v>Efetivo-Inativos II-RJUSM</v>
      </c>
      <c r="F487" t="str">
        <f>"R$ 1.100,00"</f>
        <v>R$ 1.100,00</v>
      </c>
      <c r="G487" t="str">
        <f>"R$ 1.100,00"</f>
        <v>R$ 1.100,00</v>
      </c>
      <c r="H487" t="str">
        <f t="shared" si="44"/>
        <v>R$ 0,00</v>
      </c>
      <c r="I487" t="str">
        <f>"R$ 1.100,00"</f>
        <v>R$ 1.100,00</v>
      </c>
      <c r="J487" t="str">
        <f>"R$ 0,00"</f>
        <v>R$ 0,00</v>
      </c>
      <c r="K487" t="str">
        <f>"R$ 1.100,00"</f>
        <v>R$ 1.100,00</v>
      </c>
    </row>
    <row r="488" spans="1:11" x14ac:dyDescent="0.25">
      <c r="A488" t="str">
        <f>"03641953 / 1"</f>
        <v>03641953 / 1</v>
      </c>
      <c r="B488" t="str">
        <f>"13° Salário Anual"</f>
        <v>13° Salário Anual</v>
      </c>
      <c r="C488" t="str">
        <f>"Emilia Martins de Souza"</f>
        <v>Emilia Martins de Souza</v>
      </c>
      <c r="D488" t="str">
        <f>"DAS 08"</f>
        <v>DAS 08</v>
      </c>
      <c r="E488" t="str">
        <f>"Comissionado"</f>
        <v>Comissionado</v>
      </c>
      <c r="F488" t="str">
        <f>"R$ 4.200,00"</f>
        <v>R$ 4.200,00</v>
      </c>
      <c r="G488" t="str">
        <f>"R$ 350,00"</f>
        <v>R$ 350,00</v>
      </c>
      <c r="H488" t="str">
        <f t="shared" si="44"/>
        <v>R$ 0,00</v>
      </c>
      <c r="I488" t="str">
        <f>"R$ 350,00"</f>
        <v>R$ 350,00</v>
      </c>
      <c r="J488" t="str">
        <f>"R$ 26,25"</f>
        <v>R$ 26,25</v>
      </c>
      <c r="K488" t="str">
        <f>"R$ 323,75"</f>
        <v>R$ 323,75</v>
      </c>
    </row>
    <row r="489" spans="1:11" x14ac:dyDescent="0.25">
      <c r="A489" t="str">
        <f>"03641953 / 1"</f>
        <v>03641953 / 1</v>
      </c>
      <c r="B489" t="str">
        <f>"Folha Mensal"</f>
        <v>Folha Mensal</v>
      </c>
      <c r="C489" t="str">
        <f>"Emilia Martins de Souza"</f>
        <v>Emilia Martins de Souza</v>
      </c>
      <c r="D489" t="str">
        <f>"DAS 08"</f>
        <v>DAS 08</v>
      </c>
      <c r="E489" t="str">
        <f>"Comissionado"</f>
        <v>Comissionado</v>
      </c>
      <c r="F489" t="str">
        <f>"R$ 4.200,00"</f>
        <v>R$ 4.200,00</v>
      </c>
      <c r="G489" t="str">
        <f>"R$ 4.200,00"</f>
        <v>R$ 4.200,00</v>
      </c>
      <c r="H489" t="str">
        <f t="shared" si="44"/>
        <v>R$ 0,00</v>
      </c>
      <c r="I489" t="str">
        <f>"R$ 4.200,00"</f>
        <v>R$ 4.200,00</v>
      </c>
      <c r="J489" t="str">
        <f>"R$ 649,30"</f>
        <v>R$ 649,30</v>
      </c>
      <c r="K489" t="str">
        <f>"R$ 3.550,70"</f>
        <v>R$ 3.550,70</v>
      </c>
    </row>
    <row r="490" spans="1:11" x14ac:dyDescent="0.25">
      <c r="A490" t="str">
        <f>"03643069 / 1"</f>
        <v>03643069 / 1</v>
      </c>
      <c r="B490" t="str">
        <f>"13° Salário Anual"</f>
        <v>13° Salário Anual</v>
      </c>
      <c r="C490" t="str">
        <f>"Eneida Carita da Costa Azevedo"</f>
        <v>Eneida Carita da Costa Azevedo</v>
      </c>
      <c r="D490" t="str">
        <f>"PENSIONISTA"</f>
        <v>PENSIONISTA</v>
      </c>
      <c r="E490" t="str">
        <f>"Pensionista"</f>
        <v>Pensionista</v>
      </c>
      <c r="F490" t="str">
        <f>"R$ 9.066,24"</f>
        <v>R$ 9.066,24</v>
      </c>
      <c r="G490" t="str">
        <f>"R$ 16.184,29"</f>
        <v>R$ 16.184,29</v>
      </c>
      <c r="H490" t="str">
        <f t="shared" si="44"/>
        <v>R$ 0,00</v>
      </c>
      <c r="I490" t="str">
        <f>"R$ 16.184,29"</f>
        <v>R$ 16.184,29</v>
      </c>
      <c r="J490" t="str">
        <f>"R$ 12.311,56"</f>
        <v>R$ 12.311,56</v>
      </c>
      <c r="K490" t="str">
        <f>"R$ 3.872,73"</f>
        <v>R$ 3.872,73</v>
      </c>
    </row>
    <row r="491" spans="1:11" x14ac:dyDescent="0.25">
      <c r="A491" t="str">
        <f>"03643069 / 1"</f>
        <v>03643069 / 1</v>
      </c>
      <c r="B491" t="str">
        <f>"Folha Mensal"</f>
        <v>Folha Mensal</v>
      </c>
      <c r="C491" t="str">
        <f>"Eneida Carita da Costa Azevedo"</f>
        <v>Eneida Carita da Costa Azevedo</v>
      </c>
      <c r="D491" t="str">
        <f>"PENSIONISTA"</f>
        <v>PENSIONISTA</v>
      </c>
      <c r="E491" t="str">
        <f>"Pensionista"</f>
        <v>Pensionista</v>
      </c>
      <c r="F491" t="str">
        <f>"R$ 9.066,24"</f>
        <v>R$ 9.066,24</v>
      </c>
      <c r="G491" t="str">
        <f>"R$ 16.184,29"</f>
        <v>R$ 16.184,29</v>
      </c>
      <c r="H491" t="str">
        <f t="shared" si="44"/>
        <v>R$ 0,00</v>
      </c>
      <c r="I491" t="str">
        <f>"R$ 16.184,29"</f>
        <v>R$ 16.184,29</v>
      </c>
      <c r="J491" t="str">
        <f>"R$ 4.604,76"</f>
        <v>R$ 4.604,76</v>
      </c>
      <c r="K491" t="str">
        <f>"R$ 11.579,53"</f>
        <v>R$ 11.579,53</v>
      </c>
    </row>
    <row r="492" spans="1:11" x14ac:dyDescent="0.25">
      <c r="A492" t="str">
        <f>"00028096 / 1"</f>
        <v>00028096 / 1</v>
      </c>
      <c r="B492" t="str">
        <f>"13° Salário Anual"</f>
        <v>13° Salário Anual</v>
      </c>
      <c r="C492" t="str">
        <f>"Ercilia Venancio da Costa"</f>
        <v>Ercilia Venancio da Costa</v>
      </c>
      <c r="D492" t="str">
        <f>"PROP IDADE"</f>
        <v>PROP IDADE</v>
      </c>
      <c r="E492" t="str">
        <f>"Efetivo-Inativo I- RJUSM"</f>
        <v>Efetivo-Inativo I- RJUSM</v>
      </c>
      <c r="F492" t="str">
        <f>"R$ 505,24"</f>
        <v>R$ 505,24</v>
      </c>
      <c r="G492" t="str">
        <f>"R$ 1.100,00"</f>
        <v>R$ 1.100,00</v>
      </c>
      <c r="H492" t="str">
        <f t="shared" si="44"/>
        <v>R$ 0,00</v>
      </c>
      <c r="I492" t="str">
        <f>"R$ 1.100,00"</f>
        <v>R$ 1.100,00</v>
      </c>
      <c r="J492" t="str">
        <f>"R$ 550,00"</f>
        <v>R$ 550,00</v>
      </c>
      <c r="K492" t="str">
        <f>"R$ 550,00"</f>
        <v>R$ 550,00</v>
      </c>
    </row>
    <row r="493" spans="1:11" x14ac:dyDescent="0.25">
      <c r="A493" t="str">
        <f>"00028096 / 1"</f>
        <v>00028096 / 1</v>
      </c>
      <c r="B493" t="str">
        <f>"Folha Mensal"</f>
        <v>Folha Mensal</v>
      </c>
      <c r="C493" t="str">
        <f>"Ercilia Venancio da Costa"</f>
        <v>Ercilia Venancio da Costa</v>
      </c>
      <c r="D493" t="str">
        <f>"PROP IDADE"</f>
        <v>PROP IDADE</v>
      </c>
      <c r="E493" t="str">
        <f>"Efetivo-Inativo I- RJUSM"</f>
        <v>Efetivo-Inativo I- RJUSM</v>
      </c>
      <c r="F493" t="str">
        <f>"R$ 505,24"</f>
        <v>R$ 505,24</v>
      </c>
      <c r="G493" t="str">
        <f>"R$ 1.100,00"</f>
        <v>R$ 1.100,00</v>
      </c>
      <c r="H493" t="str">
        <f t="shared" si="44"/>
        <v>R$ 0,00</v>
      </c>
      <c r="I493" t="str">
        <f>"R$ 1.100,00"</f>
        <v>R$ 1.100,00</v>
      </c>
      <c r="J493" t="str">
        <f>"R$ 0,00"</f>
        <v>R$ 0,00</v>
      </c>
      <c r="K493" t="str">
        <f>"R$ 1.100,00"</f>
        <v>R$ 1.100,00</v>
      </c>
    </row>
    <row r="494" spans="1:11" x14ac:dyDescent="0.25">
      <c r="A494" t="str">
        <f>"03641015 / 1"</f>
        <v>03641015 / 1</v>
      </c>
      <c r="B494" t="str">
        <f>"13° Salário Anual"</f>
        <v>13° Salário Anual</v>
      </c>
      <c r="C494" t="str">
        <f>"Erika Rosa Pereira Cardoso"</f>
        <v>Erika Rosa Pereira Cardoso</v>
      </c>
      <c r="D494" t="str">
        <f>"DAS 04"</f>
        <v>DAS 04</v>
      </c>
      <c r="E494" t="str">
        <f>"Comissionado"</f>
        <v>Comissionado</v>
      </c>
      <c r="F494" t="str">
        <f>"R$ 1.685,13"</f>
        <v>R$ 1.685,13</v>
      </c>
      <c r="G494" t="str">
        <f>"R$ 1.404,27"</f>
        <v>R$ 1.404,27</v>
      </c>
      <c r="H494" t="str">
        <f t="shared" si="44"/>
        <v>R$ 0,00</v>
      </c>
      <c r="I494" t="str">
        <f>"R$ 1.404,27"</f>
        <v>R$ 1.404,27</v>
      </c>
      <c r="J494" t="str">
        <f>"R$ 812,01"</f>
        <v>R$ 812,01</v>
      </c>
      <c r="K494" t="str">
        <f>"R$ 592,26"</f>
        <v>R$ 592,26</v>
      </c>
    </row>
    <row r="495" spans="1:11" x14ac:dyDescent="0.25">
      <c r="A495" t="str">
        <f>"03641015 / 1"</f>
        <v>03641015 / 1</v>
      </c>
      <c r="B495" t="str">
        <f>"Folha Mensal"</f>
        <v>Folha Mensal</v>
      </c>
      <c r="C495" t="str">
        <f>"Erika Rosa Pereira Cardoso"</f>
        <v>Erika Rosa Pereira Cardoso</v>
      </c>
      <c r="D495" t="str">
        <f>"DAS 04"</f>
        <v>DAS 04</v>
      </c>
      <c r="E495" t="str">
        <f>"Comissionado"</f>
        <v>Comissionado</v>
      </c>
      <c r="F495" t="str">
        <f>"R$ 1.685,13"</f>
        <v>R$ 1.685,13</v>
      </c>
      <c r="G495" t="str">
        <f>"R$ 1.685,13"</f>
        <v>R$ 1.685,13</v>
      </c>
      <c r="H495" t="str">
        <f t="shared" si="44"/>
        <v>R$ 0,00</v>
      </c>
      <c r="I495" t="str">
        <f>"R$ 1.685,13"</f>
        <v>R$ 1.685,13</v>
      </c>
      <c r="J495" t="str">
        <f>"R$ 135,16"</f>
        <v>R$ 135,16</v>
      </c>
      <c r="K495" t="str">
        <f>"R$ 1.549,97"</f>
        <v>R$ 1.549,97</v>
      </c>
    </row>
    <row r="496" spans="1:11" x14ac:dyDescent="0.25">
      <c r="A496" t="str">
        <f>"00001180 / 1"</f>
        <v>00001180 / 1</v>
      </c>
      <c r="B496" t="str">
        <f>"13° Salário Anual"</f>
        <v>13° Salário Anual</v>
      </c>
      <c r="C496" t="str">
        <f>"Ermogenas de Santana Lima"</f>
        <v>Ermogenas de Santana Lima</v>
      </c>
      <c r="D496" t="str">
        <f>"INT TEMP CONTRIBUICAO"</f>
        <v>INT TEMP CONTRIBUICAO</v>
      </c>
      <c r="E496" t="str">
        <f>"Efetivo-Inativo I- RJUSM"</f>
        <v>Efetivo-Inativo I- RJUSM</v>
      </c>
      <c r="F496" t="str">
        <f>"R$ 1.100,00"</f>
        <v>R$ 1.100,00</v>
      </c>
      <c r="G496" t="str">
        <f>"R$ 1.430,00"</f>
        <v>R$ 1.430,00</v>
      </c>
      <c r="H496" t="str">
        <f t="shared" si="44"/>
        <v>R$ 0,00</v>
      </c>
      <c r="I496" t="str">
        <f>"R$ 1.430,00"</f>
        <v>R$ 1.430,00</v>
      </c>
      <c r="J496" t="str">
        <f>"R$ 715,00"</f>
        <v>R$ 715,00</v>
      </c>
      <c r="K496" t="str">
        <f>"R$ 715,00"</f>
        <v>R$ 715,00</v>
      </c>
    </row>
    <row r="497" spans="1:11" x14ac:dyDescent="0.25">
      <c r="A497" t="str">
        <f>"00001180 / 1"</f>
        <v>00001180 / 1</v>
      </c>
      <c r="B497" t="str">
        <f>"Folha Mensal"</f>
        <v>Folha Mensal</v>
      </c>
      <c r="C497" t="str">
        <f>"Ermogenas de Santana Lima"</f>
        <v>Ermogenas de Santana Lima</v>
      </c>
      <c r="D497" t="str">
        <f>"INT TEMP CONTRIBUICAO"</f>
        <v>INT TEMP CONTRIBUICAO</v>
      </c>
      <c r="E497" t="str">
        <f>"Efetivo-Inativo I- RJUSM"</f>
        <v>Efetivo-Inativo I- RJUSM</v>
      </c>
      <c r="F497" t="str">
        <f>"R$ 1.100,00"</f>
        <v>R$ 1.100,00</v>
      </c>
      <c r="G497" t="str">
        <f>"R$ 1.430,00"</f>
        <v>R$ 1.430,00</v>
      </c>
      <c r="H497" t="str">
        <f t="shared" si="44"/>
        <v>R$ 0,00</v>
      </c>
      <c r="I497" t="str">
        <f>"R$ 1.430,00"</f>
        <v>R$ 1.430,00</v>
      </c>
      <c r="J497" t="str">
        <f>"R$ 499,30"</f>
        <v>R$ 499,30</v>
      </c>
      <c r="K497" t="str">
        <f>"R$ 930,70"</f>
        <v>R$ 930,70</v>
      </c>
    </row>
    <row r="498" spans="1:11" x14ac:dyDescent="0.25">
      <c r="A498" t="str">
        <f>"00009075 / 1"</f>
        <v>00009075 / 1</v>
      </c>
      <c r="B498" t="str">
        <f>"13° Salário Anual"</f>
        <v>13° Salário Anual</v>
      </c>
      <c r="C498" t="str">
        <f>"Erotilde Cardoso dos Reis"</f>
        <v>Erotilde Cardoso dos Reis</v>
      </c>
      <c r="D498" t="str">
        <f>"INT TEMP CONTRIBUICAO"</f>
        <v>INT TEMP CONTRIBUICAO</v>
      </c>
      <c r="E498" t="str">
        <f>"Efetivo-Inativos II-RJUSM"</f>
        <v>Efetivo-Inativos II-RJUSM</v>
      </c>
      <c r="F498" t="str">
        <f>"R$ 1.100,00"</f>
        <v>R$ 1.100,00</v>
      </c>
      <c r="G498" t="str">
        <f>"R$ 1.430,00"</f>
        <v>R$ 1.430,00</v>
      </c>
      <c r="H498" t="str">
        <f t="shared" ref="H498:H516" si="45">"R$ 0,00"</f>
        <v>R$ 0,00</v>
      </c>
      <c r="I498" t="str">
        <f>"R$ 1.430,00"</f>
        <v>R$ 1.430,00</v>
      </c>
      <c r="J498" t="str">
        <f>"R$ 715,00"</f>
        <v>R$ 715,00</v>
      </c>
      <c r="K498" t="str">
        <f>"R$ 715,00"</f>
        <v>R$ 715,00</v>
      </c>
    </row>
    <row r="499" spans="1:11" x14ac:dyDescent="0.25">
      <c r="A499" t="str">
        <f>"00009075 / 1"</f>
        <v>00009075 / 1</v>
      </c>
      <c r="B499" t="str">
        <f>"Folha Mensal"</f>
        <v>Folha Mensal</v>
      </c>
      <c r="C499" t="str">
        <f>"Erotilde Cardoso dos Reis"</f>
        <v>Erotilde Cardoso dos Reis</v>
      </c>
      <c r="D499" t="str">
        <f>"INT TEMP CONTRIBUICAO"</f>
        <v>INT TEMP CONTRIBUICAO</v>
      </c>
      <c r="E499" t="str">
        <f>"Efetivo-Inativos II-RJUSM"</f>
        <v>Efetivo-Inativos II-RJUSM</v>
      </c>
      <c r="F499" t="str">
        <f>"R$ 1.100,00"</f>
        <v>R$ 1.100,00</v>
      </c>
      <c r="G499" t="str">
        <f>"R$ 1.430,00"</f>
        <v>R$ 1.430,00</v>
      </c>
      <c r="H499" t="str">
        <f t="shared" si="45"/>
        <v>R$ 0,00</v>
      </c>
      <c r="I499" t="str">
        <f>"R$ 1.430,00"</f>
        <v>R$ 1.430,00</v>
      </c>
      <c r="J499" t="str">
        <f>"R$ 427,80"</f>
        <v>R$ 427,80</v>
      </c>
      <c r="K499" t="str">
        <f>"R$ 1.002,20"</f>
        <v>R$ 1.002,20</v>
      </c>
    </row>
    <row r="500" spans="1:11" x14ac:dyDescent="0.25">
      <c r="A500" t="str">
        <f>"03640523 / 1"</f>
        <v>03640523 / 1</v>
      </c>
      <c r="B500" t="str">
        <f>"13° Salário Anual"</f>
        <v>13° Salário Anual</v>
      </c>
      <c r="C500" t="str">
        <f>"Esmael Vieira Lima"</f>
        <v>Esmael Vieira Lima</v>
      </c>
      <c r="D500" t="str">
        <f>"DAS 07"</f>
        <v>DAS 07</v>
      </c>
      <c r="E500" t="str">
        <f>"Comissionado"</f>
        <v>Comissionado</v>
      </c>
      <c r="F500" t="str">
        <f>"R$ 3.154,55"</f>
        <v>R$ 3.154,55</v>
      </c>
      <c r="G500" t="str">
        <f>"R$ 3.154,55"</f>
        <v>R$ 3.154,55</v>
      </c>
      <c r="H500" t="str">
        <f t="shared" si="45"/>
        <v>R$ 0,00</v>
      </c>
      <c r="I500" t="str">
        <f>"R$ 3.154,55"</f>
        <v>R$ 3.154,55</v>
      </c>
      <c r="J500" t="str">
        <f>"R$ 1.930,57"</f>
        <v>R$ 1.930,57</v>
      </c>
      <c r="K500" t="str">
        <f>"R$ 1.223,98"</f>
        <v>R$ 1.223,98</v>
      </c>
    </row>
    <row r="501" spans="1:11" x14ac:dyDescent="0.25">
      <c r="A501" t="str">
        <f>"03640523 / 1"</f>
        <v>03640523 / 1</v>
      </c>
      <c r="B501" t="str">
        <f>"Folha Mensal"</f>
        <v>Folha Mensal</v>
      </c>
      <c r="C501" t="str">
        <f>"Esmael Vieira Lima"</f>
        <v>Esmael Vieira Lima</v>
      </c>
      <c r="D501" t="str">
        <f>"DAS 07"</f>
        <v>DAS 07</v>
      </c>
      <c r="E501" t="str">
        <f>"Comissionado"</f>
        <v>Comissionado</v>
      </c>
      <c r="F501" t="str">
        <f>"R$ 3.154,55"</f>
        <v>R$ 3.154,55</v>
      </c>
      <c r="G501" t="str">
        <f>"R$ 3.154,55"</f>
        <v>R$ 3.154,55</v>
      </c>
      <c r="H501" t="str">
        <f t="shared" si="45"/>
        <v>R$ 0,00</v>
      </c>
      <c r="I501" t="str">
        <f>"R$ 3.154,55"</f>
        <v>R$ 3.154,55</v>
      </c>
      <c r="J501" t="str">
        <f>"R$ 353,30"</f>
        <v>R$ 353,30</v>
      </c>
      <c r="K501" t="str">
        <f>"R$ 2.801,25"</f>
        <v>R$ 2.801,25</v>
      </c>
    </row>
    <row r="502" spans="1:11" x14ac:dyDescent="0.25">
      <c r="A502" t="str">
        <f>"00004685 / 1"</f>
        <v>00004685 / 1</v>
      </c>
      <c r="B502" t="str">
        <f>"13° Salário Anual"</f>
        <v>13° Salário Anual</v>
      </c>
      <c r="C502" t="str">
        <f>"Esmeralda Macedo da Cruz"</f>
        <v>Esmeralda Macedo da Cruz</v>
      </c>
      <c r="D502" t="str">
        <f>"PROFESSOR NIVEL II"</f>
        <v>PROFESSOR NIVEL II</v>
      </c>
      <c r="E502" t="str">
        <f>"Efetivo-Inativo I- RJUSM"</f>
        <v>Efetivo-Inativo I- RJUSM</v>
      </c>
      <c r="F502" t="str">
        <f>"R$ 4.143,03"</f>
        <v>R$ 4.143,03</v>
      </c>
      <c r="G502" t="str">
        <f>"R$ 5.178,78"</f>
        <v>R$ 5.178,78</v>
      </c>
      <c r="H502" t="str">
        <f t="shared" si="45"/>
        <v>R$ 0,00</v>
      </c>
      <c r="I502" t="str">
        <f>"R$ 5.178,78"</f>
        <v>R$ 5.178,78</v>
      </c>
      <c r="J502" t="str">
        <f>"R$ 3.144,19"</f>
        <v>R$ 3.144,19</v>
      </c>
      <c r="K502" t="str">
        <f>"R$ 2.034,59"</f>
        <v>R$ 2.034,59</v>
      </c>
    </row>
    <row r="503" spans="1:11" x14ac:dyDescent="0.25">
      <c r="A503" t="str">
        <f>"00004685 / 1"</f>
        <v>00004685 / 1</v>
      </c>
      <c r="B503" t="str">
        <f>"Folha Mensal"</f>
        <v>Folha Mensal</v>
      </c>
      <c r="C503" t="str">
        <f>"Esmeralda Macedo da Cruz"</f>
        <v>Esmeralda Macedo da Cruz</v>
      </c>
      <c r="D503" t="str">
        <f>"PROFESSOR NIVEL II"</f>
        <v>PROFESSOR NIVEL II</v>
      </c>
      <c r="E503" t="str">
        <f>"Efetivo-Inativo I- RJUSM"</f>
        <v>Efetivo-Inativo I- RJUSM</v>
      </c>
      <c r="F503" t="str">
        <f>"R$ 4.143,03"</f>
        <v>R$ 4.143,03</v>
      </c>
      <c r="G503" t="str">
        <f>"R$ 5.178,78"</f>
        <v>R$ 5.178,78</v>
      </c>
      <c r="H503" t="str">
        <f t="shared" si="45"/>
        <v>R$ 0,00</v>
      </c>
      <c r="I503" t="str">
        <f>"R$ 5.178,78"</f>
        <v>R$ 5.178,78</v>
      </c>
      <c r="J503" t="str">
        <f>"R$ 2.172,81"</f>
        <v>R$ 2.172,81</v>
      </c>
      <c r="K503" t="str">
        <f>"R$ 3.005,97"</f>
        <v>R$ 3.005,97</v>
      </c>
    </row>
    <row r="504" spans="1:11" x14ac:dyDescent="0.25">
      <c r="A504" t="str">
        <f>"03643085 / 1"</f>
        <v>03643085 / 1</v>
      </c>
      <c r="B504" t="str">
        <f>"13° Salário Anual"</f>
        <v>13° Salário Anual</v>
      </c>
      <c r="C504" t="str">
        <f>"Esmeralda Rita dos Santos Araujo"</f>
        <v>Esmeralda Rita dos Santos Araujo</v>
      </c>
      <c r="D504" t="str">
        <f>"PENSIONISTA"</f>
        <v>PENSIONISTA</v>
      </c>
      <c r="E504" t="str">
        <f>"Pensionista"</f>
        <v>Pensionista</v>
      </c>
      <c r="F504" t="str">
        <f>"R$ 1.100,00"</f>
        <v>R$ 1.100,00</v>
      </c>
      <c r="G504" t="str">
        <f>"R$ 1.210,00"</f>
        <v>R$ 1.210,00</v>
      </c>
      <c r="H504" t="str">
        <f t="shared" si="45"/>
        <v>R$ 0,00</v>
      </c>
      <c r="I504" t="str">
        <f>"R$ 1.210,00"</f>
        <v>R$ 1.210,00</v>
      </c>
      <c r="J504" t="str">
        <f>"R$ 605,00"</f>
        <v>R$ 605,00</v>
      </c>
      <c r="K504" t="str">
        <f>"R$ 605,00"</f>
        <v>R$ 605,00</v>
      </c>
    </row>
    <row r="505" spans="1:11" x14ac:dyDescent="0.25">
      <c r="A505" t="str">
        <f>"03643085 / 1"</f>
        <v>03643085 / 1</v>
      </c>
      <c r="B505" t="str">
        <f>"Folha Mensal"</f>
        <v>Folha Mensal</v>
      </c>
      <c r="C505" t="str">
        <f>"Esmeralda Rita dos Santos Araujo"</f>
        <v>Esmeralda Rita dos Santos Araujo</v>
      </c>
      <c r="D505" t="str">
        <f>"PENSIONISTA"</f>
        <v>PENSIONISTA</v>
      </c>
      <c r="E505" t="str">
        <f>"Pensionista"</f>
        <v>Pensionista</v>
      </c>
      <c r="F505" t="str">
        <f>"R$ 1.100,00"</f>
        <v>R$ 1.100,00</v>
      </c>
      <c r="G505" t="str">
        <f>"R$ 1.210,00"</f>
        <v>R$ 1.210,00</v>
      </c>
      <c r="H505" t="str">
        <f t="shared" si="45"/>
        <v>R$ 0,00</v>
      </c>
      <c r="I505" t="str">
        <f>"R$ 1.210,00"</f>
        <v>R$ 1.210,00</v>
      </c>
      <c r="J505" t="str">
        <f>"R$ 314,00"</f>
        <v>R$ 314,00</v>
      </c>
      <c r="K505" t="str">
        <f>"R$ 896,00"</f>
        <v>R$ 896,00</v>
      </c>
    </row>
    <row r="506" spans="1:11" x14ac:dyDescent="0.25">
      <c r="A506" t="str">
        <f>"00004162 / 2"</f>
        <v>00004162 / 2</v>
      </c>
      <c r="B506" t="str">
        <f>"13° Salário Anual"</f>
        <v>13° Salário Anual</v>
      </c>
      <c r="C506" t="str">
        <f>"Euclenice Tereza Coelho Correa"</f>
        <v>Euclenice Tereza Coelho Correa</v>
      </c>
      <c r="D506" t="str">
        <f>"PROP INVALIDEZ"</f>
        <v>PROP INVALIDEZ</v>
      </c>
      <c r="E506" t="str">
        <f>"Efetivo-Inativo I- RJUSM"</f>
        <v>Efetivo-Inativo I- RJUSM</v>
      </c>
      <c r="F506" t="str">
        <f>"R$ 1.776,93"</f>
        <v>R$ 1.776,93</v>
      </c>
      <c r="G506" t="str">
        <f>"R$ 1.776,93"</f>
        <v>R$ 1.776,93</v>
      </c>
      <c r="H506" t="str">
        <f t="shared" si="45"/>
        <v>R$ 0,00</v>
      </c>
      <c r="I506" t="str">
        <f>"R$ 1.776,93"</f>
        <v>R$ 1.776,93</v>
      </c>
      <c r="J506" t="str">
        <f>"R$ 888,46"</f>
        <v>R$ 888,46</v>
      </c>
      <c r="K506" t="str">
        <f>"R$ 888,47"</f>
        <v>R$ 888,47</v>
      </c>
    </row>
    <row r="507" spans="1:11" x14ac:dyDescent="0.25">
      <c r="A507" t="str">
        <f>"00004162 / 2"</f>
        <v>00004162 / 2</v>
      </c>
      <c r="B507" t="str">
        <f>"Folha Mensal"</f>
        <v>Folha Mensal</v>
      </c>
      <c r="C507" t="str">
        <f>"Euclenice Tereza Coelho Correa"</f>
        <v>Euclenice Tereza Coelho Correa</v>
      </c>
      <c r="D507" t="str">
        <f>"PROP INVALIDEZ"</f>
        <v>PROP INVALIDEZ</v>
      </c>
      <c r="E507" t="str">
        <f>"Efetivo-Inativo I- RJUSM"</f>
        <v>Efetivo-Inativo I- RJUSM</v>
      </c>
      <c r="F507" t="str">
        <f>"R$ 1.776,93"</f>
        <v>R$ 1.776,93</v>
      </c>
      <c r="G507" t="str">
        <f>"R$ 1.776,93"</f>
        <v>R$ 1.776,93</v>
      </c>
      <c r="H507" t="str">
        <f t="shared" si="45"/>
        <v>R$ 0,00</v>
      </c>
      <c r="I507" t="str">
        <f>"R$ 1.776,93"</f>
        <v>R$ 1.776,93</v>
      </c>
      <c r="J507" t="str">
        <f>"R$ 518,70"</f>
        <v>R$ 518,70</v>
      </c>
      <c r="K507" t="str">
        <f>"R$ 1.258,23"</f>
        <v>R$ 1.258,23</v>
      </c>
    </row>
    <row r="508" spans="1:11" x14ac:dyDescent="0.25">
      <c r="A508" t="str">
        <f>"00023426 / 1"</f>
        <v>00023426 / 1</v>
      </c>
      <c r="B508" t="str">
        <f>"13° Salário Anual"</f>
        <v>13° Salário Anual</v>
      </c>
      <c r="C508" t="str">
        <f>"Eulalia de Oliveira Doria"</f>
        <v>Eulalia de Oliveira Doria</v>
      </c>
      <c r="D508" t="str">
        <f>"PROP IDADE"</f>
        <v>PROP IDADE</v>
      </c>
      <c r="E508" t="str">
        <f>"Efetivo-Inativo I- RJUSM"</f>
        <v>Efetivo-Inativo I- RJUSM</v>
      </c>
      <c r="F508" t="str">
        <f t="shared" ref="F508:F513" si="46">"R$ 1.100,00"</f>
        <v>R$ 1.100,00</v>
      </c>
      <c r="G508" t="str">
        <f>"R$ 1.210,00"</f>
        <v>R$ 1.210,00</v>
      </c>
      <c r="H508" t="str">
        <f t="shared" si="45"/>
        <v>R$ 0,00</v>
      </c>
      <c r="I508" t="str">
        <f>"R$ 1.210,00"</f>
        <v>R$ 1.210,00</v>
      </c>
      <c r="J508" t="str">
        <f>"R$ 605,00"</f>
        <v>R$ 605,00</v>
      </c>
      <c r="K508" t="str">
        <f>"R$ 605,00"</f>
        <v>R$ 605,00</v>
      </c>
    </row>
    <row r="509" spans="1:11" x14ac:dyDescent="0.25">
      <c r="A509" t="str">
        <f>"00023426 / 1"</f>
        <v>00023426 / 1</v>
      </c>
      <c r="B509" t="str">
        <f>"Folha Mensal"</f>
        <v>Folha Mensal</v>
      </c>
      <c r="C509" t="str">
        <f>"Eulalia de Oliveira Doria"</f>
        <v>Eulalia de Oliveira Doria</v>
      </c>
      <c r="D509" t="str">
        <f>"PROP IDADE"</f>
        <v>PROP IDADE</v>
      </c>
      <c r="E509" t="str">
        <f>"Efetivo-Inativo I- RJUSM"</f>
        <v>Efetivo-Inativo I- RJUSM</v>
      </c>
      <c r="F509" t="str">
        <f t="shared" si="46"/>
        <v>R$ 1.100,00</v>
      </c>
      <c r="G509" t="str">
        <f>"R$ 1.210,00"</f>
        <v>R$ 1.210,00</v>
      </c>
      <c r="H509" t="str">
        <f t="shared" si="45"/>
        <v>R$ 0,00</v>
      </c>
      <c r="I509" t="str">
        <f>"R$ 1.210,00"</f>
        <v>R$ 1.210,00</v>
      </c>
      <c r="J509" t="str">
        <f>"R$ 0,00"</f>
        <v>R$ 0,00</v>
      </c>
      <c r="K509" t="str">
        <f>"R$ 1.210,00"</f>
        <v>R$ 1.210,00</v>
      </c>
    </row>
    <row r="510" spans="1:11" x14ac:dyDescent="0.25">
      <c r="A510" t="str">
        <f>"00023825 / 2"</f>
        <v>00023825 / 2</v>
      </c>
      <c r="B510" t="str">
        <f>"13° Salário Anual"</f>
        <v>13° Salário Anual</v>
      </c>
      <c r="C510" t="str">
        <f>"Eunice Pinheiro dos Santos"</f>
        <v>Eunice Pinheiro dos Santos</v>
      </c>
      <c r="D510" t="str">
        <f>"TECNICO MUNICIPAL"</f>
        <v>TECNICO MUNICIPAL</v>
      </c>
      <c r="E510" t="str">
        <f>"Efetivo-Inativos II-RJUSM"</f>
        <v>Efetivo-Inativos II-RJUSM</v>
      </c>
      <c r="F510" t="str">
        <f t="shared" si="46"/>
        <v>R$ 1.100,00</v>
      </c>
      <c r="G510" t="str">
        <f>"R$ 495,00"</f>
        <v>R$ 495,00</v>
      </c>
      <c r="H510" t="str">
        <f t="shared" si="45"/>
        <v>R$ 0,00</v>
      </c>
      <c r="I510" t="str">
        <f>"R$ 495,00"</f>
        <v>R$ 495,00</v>
      </c>
      <c r="J510" t="str">
        <f>"R$ 247,50"</f>
        <v>R$ 247,50</v>
      </c>
      <c r="K510" t="str">
        <f>"R$ 247,50"</f>
        <v>R$ 247,50</v>
      </c>
    </row>
    <row r="511" spans="1:11" x14ac:dyDescent="0.25">
      <c r="A511" t="str">
        <f>"00023825 / 2"</f>
        <v>00023825 / 2</v>
      </c>
      <c r="B511" t="str">
        <f>"Folha Mensal"</f>
        <v>Folha Mensal</v>
      </c>
      <c r="C511" t="str">
        <f>"Eunice Pinheiro dos Santos"</f>
        <v>Eunice Pinheiro dos Santos</v>
      </c>
      <c r="D511" t="str">
        <f>"TECNICO MUNICIPAL"</f>
        <v>TECNICO MUNICIPAL</v>
      </c>
      <c r="E511" t="str">
        <f>"Efetivo-Inativos II-RJUSM"</f>
        <v>Efetivo-Inativos II-RJUSM</v>
      </c>
      <c r="F511" t="str">
        <f t="shared" si="46"/>
        <v>R$ 1.100,00</v>
      </c>
      <c r="G511" t="str">
        <f>"R$ 1.485,00"</f>
        <v>R$ 1.485,00</v>
      </c>
      <c r="H511" t="str">
        <f t="shared" si="45"/>
        <v>R$ 0,00</v>
      </c>
      <c r="I511" t="str">
        <f>"R$ 1.485,00"</f>
        <v>R$ 1.485,00</v>
      </c>
      <c r="J511" t="str">
        <f>"R$ 0,00"</f>
        <v>R$ 0,00</v>
      </c>
      <c r="K511" t="str">
        <f>"R$ 1.485,00"</f>
        <v>R$ 1.485,00</v>
      </c>
    </row>
    <row r="512" spans="1:11" x14ac:dyDescent="0.25">
      <c r="A512" t="str">
        <f>"00027847 / 1"</f>
        <v>00027847 / 1</v>
      </c>
      <c r="B512" t="str">
        <f>"13° Salário Anual"</f>
        <v>13° Salário Anual</v>
      </c>
      <c r="C512" t="str">
        <f>"Eunice Santos de Oliveira"</f>
        <v>Eunice Santos de Oliveira</v>
      </c>
      <c r="D512" t="str">
        <f>"INT TEMP CONTRIBUICAO"</f>
        <v>INT TEMP CONTRIBUICAO</v>
      </c>
      <c r="E512" t="str">
        <f>"Efetivo-Inativo I- RJUSM"</f>
        <v>Efetivo-Inativo I- RJUSM</v>
      </c>
      <c r="F512" t="str">
        <f t="shared" si="46"/>
        <v>R$ 1.100,00</v>
      </c>
      <c r="G512" t="str">
        <f>"R$ 1.430,00"</f>
        <v>R$ 1.430,00</v>
      </c>
      <c r="H512" t="str">
        <f t="shared" si="45"/>
        <v>R$ 0,00</v>
      </c>
      <c r="I512" t="str">
        <f>"R$ 1.430,00"</f>
        <v>R$ 1.430,00</v>
      </c>
      <c r="J512" t="str">
        <f>"R$ 715,00"</f>
        <v>R$ 715,00</v>
      </c>
      <c r="K512" t="str">
        <f>"R$ 715,00"</f>
        <v>R$ 715,00</v>
      </c>
    </row>
    <row r="513" spans="1:11" x14ac:dyDescent="0.25">
      <c r="A513" t="str">
        <f>"00027847 / 1"</f>
        <v>00027847 / 1</v>
      </c>
      <c r="B513" t="str">
        <f>"Folha Mensal"</f>
        <v>Folha Mensal</v>
      </c>
      <c r="C513" t="str">
        <f>"Eunice Santos de Oliveira"</f>
        <v>Eunice Santos de Oliveira</v>
      </c>
      <c r="D513" t="str">
        <f>"INT TEMP CONTRIBUICAO"</f>
        <v>INT TEMP CONTRIBUICAO</v>
      </c>
      <c r="E513" t="str">
        <f>"Efetivo-Inativo I- RJUSM"</f>
        <v>Efetivo-Inativo I- RJUSM</v>
      </c>
      <c r="F513" t="str">
        <f t="shared" si="46"/>
        <v>R$ 1.100,00</v>
      </c>
      <c r="G513" t="str">
        <f>"R$ 1.430,00"</f>
        <v>R$ 1.430,00</v>
      </c>
      <c r="H513" t="str">
        <f t="shared" si="45"/>
        <v>R$ 0,00</v>
      </c>
      <c r="I513" t="str">
        <f>"R$ 1.430,00"</f>
        <v>R$ 1.430,00</v>
      </c>
      <c r="J513" t="str">
        <f>"R$ 0,00"</f>
        <v>R$ 0,00</v>
      </c>
      <c r="K513" t="str">
        <f>"R$ 1.430,00"</f>
        <v>R$ 1.430,00</v>
      </c>
    </row>
    <row r="514" spans="1:11" x14ac:dyDescent="0.25">
      <c r="A514" t="str">
        <f>"00031593 / 1"</f>
        <v>00031593 / 1</v>
      </c>
      <c r="B514" t="str">
        <f>"13° Salário Anual"</f>
        <v>13° Salário Anual</v>
      </c>
      <c r="C514" t="str">
        <f>"Evaniza Pires da Penha"</f>
        <v>Evaniza Pires da Penha</v>
      </c>
      <c r="D514" t="str">
        <f>"PROFESSOR"</f>
        <v>PROFESSOR</v>
      </c>
      <c r="E514" t="str">
        <f>"Efetivo-Inativo I- RJUSM"</f>
        <v>Efetivo-Inativo I- RJUSM</v>
      </c>
      <c r="F514" t="str">
        <f>"R$ 1.593,46"</f>
        <v>R$ 1.593,46</v>
      </c>
      <c r="G514" t="str">
        <f>"R$ 1.991,82"</f>
        <v>R$ 1.991,82</v>
      </c>
      <c r="H514" t="str">
        <f t="shared" si="45"/>
        <v>R$ 0,00</v>
      </c>
      <c r="I514" t="str">
        <f>"R$ 1.991,82"</f>
        <v>R$ 1.991,82</v>
      </c>
      <c r="J514" t="str">
        <f>"R$ 995,91"</f>
        <v>R$ 995,91</v>
      </c>
      <c r="K514" t="str">
        <f>"R$ 995,91"</f>
        <v>R$ 995,91</v>
      </c>
    </row>
    <row r="515" spans="1:11" x14ac:dyDescent="0.25">
      <c r="A515" t="str">
        <f>"00031593 / 1"</f>
        <v>00031593 / 1</v>
      </c>
      <c r="B515" t="str">
        <f>"Folha Mensal"</f>
        <v>Folha Mensal</v>
      </c>
      <c r="C515" t="str">
        <f>"Evaniza Pires da Penha"</f>
        <v>Evaniza Pires da Penha</v>
      </c>
      <c r="D515" t="str">
        <f>"PROFESSOR"</f>
        <v>PROFESSOR</v>
      </c>
      <c r="E515" t="str">
        <f>"Efetivo-Inativo I- RJUSM"</f>
        <v>Efetivo-Inativo I- RJUSM</v>
      </c>
      <c r="F515" t="str">
        <f>"R$ 1.593,46"</f>
        <v>R$ 1.593,46</v>
      </c>
      <c r="G515" t="str">
        <f>"R$ 1.991,82"</f>
        <v>R$ 1.991,82</v>
      </c>
      <c r="H515" t="str">
        <f t="shared" si="45"/>
        <v>R$ 0,00</v>
      </c>
      <c r="I515" t="str">
        <f>"R$ 1.991,82"</f>
        <v>R$ 1.991,82</v>
      </c>
      <c r="J515" t="str">
        <f>"R$ 0,00"</f>
        <v>R$ 0,00</v>
      </c>
      <c r="K515" t="str">
        <f>"R$ 1.991,82"</f>
        <v>R$ 1.991,82</v>
      </c>
    </row>
    <row r="516" spans="1:11" x14ac:dyDescent="0.25">
      <c r="A516" t="str">
        <f>"03641139 / 1"</f>
        <v>03641139 / 1</v>
      </c>
      <c r="B516" t="str">
        <f>"13° Salário Anual"</f>
        <v>13° Salário Anual</v>
      </c>
      <c r="C516" t="str">
        <f>"Evellen Karina de Souza Barbosa"</f>
        <v>Evellen Karina de Souza Barbosa</v>
      </c>
      <c r="D516" t="str">
        <f>"DAS 03 B"</f>
        <v>DAS 03 B</v>
      </c>
      <c r="E516" t="str">
        <f>"Comissionado"</f>
        <v>Comissionado</v>
      </c>
      <c r="F516" t="str">
        <f>"R$ 1.404,28"</f>
        <v>R$ 1.404,28</v>
      </c>
      <c r="G516" t="str">
        <f>"R$ 1.053,21"</f>
        <v>R$ 1.053,21</v>
      </c>
      <c r="H516" t="str">
        <f t="shared" si="45"/>
        <v>R$ 0,00</v>
      </c>
      <c r="I516" t="str">
        <f>"R$ 1.053,21"</f>
        <v>R$ 1.053,21</v>
      </c>
      <c r="J516" t="str">
        <f>"R$ 605,59"</f>
        <v>R$ 605,59</v>
      </c>
      <c r="K516" t="str">
        <f>"R$ 447,62"</f>
        <v>R$ 447,62</v>
      </c>
    </row>
    <row r="517" spans="1:11" x14ac:dyDescent="0.25">
      <c r="A517" t="str">
        <f>"03641139 / 1"</f>
        <v>03641139 / 1</v>
      </c>
      <c r="B517" t="str">
        <f>"Folha Mensal"</f>
        <v>Folha Mensal</v>
      </c>
      <c r="C517" t="str">
        <f>"Evellen Karina de Souza Barbosa"</f>
        <v>Evellen Karina de Souza Barbosa</v>
      </c>
      <c r="D517" t="str">
        <f>"DAS 03 B"</f>
        <v>DAS 03 B</v>
      </c>
      <c r="E517" t="str">
        <f>"Comissionado"</f>
        <v>Comissionado</v>
      </c>
      <c r="F517" t="str">
        <f>"R$ 1.404,28"</f>
        <v>R$ 1.404,28</v>
      </c>
      <c r="G517" t="str">
        <f>"R$ 1.404,28"</f>
        <v>R$ 1.404,28</v>
      </c>
      <c r="H517" t="str">
        <f>"R$ 339,27"</f>
        <v>R$ 339,27</v>
      </c>
      <c r="I517" t="str">
        <f>"R$ 1.743,55"</f>
        <v>R$ 1.743,55</v>
      </c>
      <c r="J517" t="str">
        <f>"R$ 194,13"</f>
        <v>R$ 194,13</v>
      </c>
      <c r="K517" t="str">
        <f>"R$ 1.549,42"</f>
        <v>R$ 1.549,42</v>
      </c>
    </row>
    <row r="518" spans="1:11" x14ac:dyDescent="0.25">
      <c r="A518" t="str">
        <f>"00013668 / 1"</f>
        <v>00013668 / 1</v>
      </c>
      <c r="B518" t="str">
        <f>"13° Salário Anual"</f>
        <v>13° Salário Anual</v>
      </c>
      <c r="C518" t="str">
        <f>"Exal de Nazare Souza Xavier"</f>
        <v>Exal de Nazare Souza Xavier</v>
      </c>
      <c r="D518" t="str">
        <f>"INT TEMP CONTRIBUICAO"</f>
        <v>INT TEMP CONTRIBUICAO</v>
      </c>
      <c r="E518" t="str">
        <f>"Efetivo-Inativos II-RJUSM"</f>
        <v>Efetivo-Inativos II-RJUSM</v>
      </c>
      <c r="F518" t="str">
        <f>"R$ 1.100,00"</f>
        <v>R$ 1.100,00</v>
      </c>
      <c r="G518" t="str">
        <f>"R$ 1.430,00"</f>
        <v>R$ 1.430,00</v>
      </c>
      <c r="H518" t="str">
        <f t="shared" ref="H518:H534" si="47">"R$ 0,00"</f>
        <v>R$ 0,00</v>
      </c>
      <c r="I518" t="str">
        <f>"R$ 1.430,00"</f>
        <v>R$ 1.430,00</v>
      </c>
      <c r="J518" t="str">
        <f>"R$ 715,00"</f>
        <v>R$ 715,00</v>
      </c>
      <c r="K518" t="str">
        <f>"R$ 715,00"</f>
        <v>R$ 715,00</v>
      </c>
    </row>
    <row r="519" spans="1:11" x14ac:dyDescent="0.25">
      <c r="A519" t="str">
        <f>"00013668 / 1"</f>
        <v>00013668 / 1</v>
      </c>
      <c r="B519" t="str">
        <f>"Folha Mensal"</f>
        <v>Folha Mensal</v>
      </c>
      <c r="C519" t="str">
        <f>"Exal de Nazare Souza Xavier"</f>
        <v>Exal de Nazare Souza Xavier</v>
      </c>
      <c r="D519" t="str">
        <f>"INT TEMP CONTRIBUICAO"</f>
        <v>INT TEMP CONTRIBUICAO</v>
      </c>
      <c r="E519" t="str">
        <f>"Efetivo-Inativos II-RJUSM"</f>
        <v>Efetivo-Inativos II-RJUSM</v>
      </c>
      <c r="F519" t="str">
        <f>"R$ 1.100,00"</f>
        <v>R$ 1.100,00</v>
      </c>
      <c r="G519" t="str">
        <f>"R$ 1.430,00"</f>
        <v>R$ 1.430,00</v>
      </c>
      <c r="H519" t="str">
        <f t="shared" si="47"/>
        <v>R$ 0,00</v>
      </c>
      <c r="I519" t="str">
        <f>"R$ 1.430,00"</f>
        <v>R$ 1.430,00</v>
      </c>
      <c r="J519" t="str">
        <f>"R$ 0,00"</f>
        <v>R$ 0,00</v>
      </c>
      <c r="K519" t="str">
        <f>"R$ 1.430,00"</f>
        <v>R$ 1.430,00</v>
      </c>
    </row>
    <row r="520" spans="1:11" x14ac:dyDescent="0.25">
      <c r="A520" t="str">
        <f>"03641350 / 1"</f>
        <v>03641350 / 1</v>
      </c>
      <c r="B520" t="str">
        <f>"13° Salário Anual"</f>
        <v>13° Salário Anual</v>
      </c>
      <c r="C520" t="str">
        <f>"Fabio Luis dos Santos"</f>
        <v>Fabio Luis dos Santos</v>
      </c>
      <c r="D520" t="str">
        <f>"PENSIONISTA"</f>
        <v>PENSIONISTA</v>
      </c>
      <c r="E520" t="str">
        <f>"Pensionista"</f>
        <v>Pensionista</v>
      </c>
      <c r="F520" t="str">
        <f>"R$ 4.063,36"</f>
        <v>R$ 4.063,36</v>
      </c>
      <c r="G520" t="str">
        <f>"R$ 3.047,52"</f>
        <v>R$ 3.047,52</v>
      </c>
      <c r="H520" t="str">
        <f t="shared" si="47"/>
        <v>R$ 0,00</v>
      </c>
      <c r="I520" t="str">
        <f>"R$ 3.047,52"</f>
        <v>R$ 3.047,52</v>
      </c>
      <c r="J520" t="str">
        <f>"R$ 1.626,08"</f>
        <v>R$ 1.626,08</v>
      </c>
      <c r="K520" t="str">
        <f>"R$ 1.421,44"</f>
        <v>R$ 1.421,44</v>
      </c>
    </row>
    <row r="521" spans="1:11" x14ac:dyDescent="0.25">
      <c r="A521" t="str">
        <f>"03641350 / 1"</f>
        <v>03641350 / 1</v>
      </c>
      <c r="B521" t="str">
        <f>"Folha Mensal"</f>
        <v>Folha Mensal</v>
      </c>
      <c r="C521" t="str">
        <f>"Fabio Luis dos Santos"</f>
        <v>Fabio Luis dos Santos</v>
      </c>
      <c r="D521" t="str">
        <f>"PENSIONISTA"</f>
        <v>PENSIONISTA</v>
      </c>
      <c r="E521" t="str">
        <f>"Pensionista"</f>
        <v>Pensionista</v>
      </c>
      <c r="F521" t="str">
        <f>"R$ 4.063,36"</f>
        <v>R$ 4.063,36</v>
      </c>
      <c r="G521" t="str">
        <f>"R$ 4.063,36"</f>
        <v>R$ 4.063,36</v>
      </c>
      <c r="H521" t="str">
        <f t="shared" si="47"/>
        <v>R$ 0,00</v>
      </c>
      <c r="I521" t="str">
        <f>"R$ 4.063,36"</f>
        <v>R$ 4.063,36</v>
      </c>
      <c r="J521" t="str">
        <f>"R$ 278,12"</f>
        <v>R$ 278,12</v>
      </c>
      <c r="K521" t="str">
        <f>"R$ 3.785,24"</f>
        <v>R$ 3.785,24</v>
      </c>
    </row>
    <row r="522" spans="1:11" x14ac:dyDescent="0.25">
      <c r="A522" t="str">
        <f>"00297496 / 1"</f>
        <v>00297496 / 1</v>
      </c>
      <c r="B522" t="str">
        <f>"13° Salário Anual"</f>
        <v>13° Salário Anual</v>
      </c>
      <c r="C522" t="str">
        <f>"Fabio Valerio Batista Amaral"</f>
        <v>Fabio Valerio Batista Amaral</v>
      </c>
      <c r="D522" t="str">
        <f>"DAS 07"</f>
        <v>DAS 07</v>
      </c>
      <c r="E522" t="str">
        <f>"Comissionado"</f>
        <v>Comissionado</v>
      </c>
      <c r="F522" t="str">
        <f>"R$ 3.154,55"</f>
        <v>R$ 3.154,55</v>
      </c>
      <c r="G522" t="str">
        <f>"R$ 3.677,28"</f>
        <v>R$ 3.677,28</v>
      </c>
      <c r="H522" t="str">
        <f t="shared" si="47"/>
        <v>R$ 0,00</v>
      </c>
      <c r="I522" t="str">
        <f>"R$ 3.677,28"</f>
        <v>R$ 3.677,28</v>
      </c>
      <c r="J522" t="str">
        <f>"R$ 1.997,16"</f>
        <v>R$ 1.997,16</v>
      </c>
      <c r="K522" t="str">
        <f>"R$ 1.680,12"</f>
        <v>R$ 1.680,12</v>
      </c>
    </row>
    <row r="523" spans="1:11" x14ac:dyDescent="0.25">
      <c r="A523" t="str">
        <f>"00297496 / 1"</f>
        <v>00297496 / 1</v>
      </c>
      <c r="B523" t="str">
        <f>"Folha Mensal"</f>
        <v>Folha Mensal</v>
      </c>
      <c r="C523" t="str">
        <f>"Fabio Valerio Batista Amaral"</f>
        <v>Fabio Valerio Batista Amaral</v>
      </c>
      <c r="D523" t="str">
        <f>"DAS 07"</f>
        <v>DAS 07</v>
      </c>
      <c r="E523" t="str">
        <f>"Comissionado"</f>
        <v>Comissionado</v>
      </c>
      <c r="F523" t="str">
        <f>"R$ 3.154,55"</f>
        <v>R$ 3.154,55</v>
      </c>
      <c r="G523" t="str">
        <f>"R$ 3.154,55"</f>
        <v>R$ 3.154,55</v>
      </c>
      <c r="H523" t="str">
        <f t="shared" si="47"/>
        <v>R$ 0,00</v>
      </c>
      <c r="I523" t="str">
        <f>"R$ 3.154,55"</f>
        <v>R$ 3.154,55</v>
      </c>
      <c r="J523" t="str">
        <f>"R$ 353,30"</f>
        <v>R$ 353,30</v>
      </c>
      <c r="K523" t="str">
        <f>"R$ 2.801,25"</f>
        <v>R$ 2.801,25</v>
      </c>
    </row>
    <row r="524" spans="1:11" x14ac:dyDescent="0.25">
      <c r="A524" t="str">
        <f>"00002259 / 1"</f>
        <v>00002259 / 1</v>
      </c>
      <c r="B524" t="str">
        <f>"13° Salário Anual"</f>
        <v>13° Salário Anual</v>
      </c>
      <c r="C524" t="str">
        <f>"Fatima das Gracas Ferreira"</f>
        <v>Fatima das Gracas Ferreira</v>
      </c>
      <c r="D524" t="str">
        <f>"PROFESSOR NIVEL I"</f>
        <v>PROFESSOR NIVEL I</v>
      </c>
      <c r="E524" t="str">
        <f>"Efetivo-Inativo I- RJUSM"</f>
        <v>Efetivo-Inativo I- RJUSM</v>
      </c>
      <c r="F524" t="str">
        <f>"R$ 2.390,21"</f>
        <v>R$ 2.390,21</v>
      </c>
      <c r="G524" t="str">
        <f>"R$ 3.107,27"</f>
        <v>R$ 3.107,27</v>
      </c>
      <c r="H524" t="str">
        <f t="shared" si="47"/>
        <v>R$ 0,00</v>
      </c>
      <c r="I524" t="str">
        <f>"R$ 3.107,27"</f>
        <v>R$ 3.107,27</v>
      </c>
      <c r="J524" t="str">
        <f>"R$ 1.553,63"</f>
        <v>R$ 1.553,63</v>
      </c>
      <c r="K524" t="str">
        <f>"R$ 1.553,64"</f>
        <v>R$ 1.553,64</v>
      </c>
    </row>
    <row r="525" spans="1:11" x14ac:dyDescent="0.25">
      <c r="A525" t="str">
        <f>"00002259 / 1"</f>
        <v>00002259 / 1</v>
      </c>
      <c r="B525" t="str">
        <f>"Folha Mensal"</f>
        <v>Folha Mensal</v>
      </c>
      <c r="C525" t="str">
        <f>"Fatima das Gracas Ferreira"</f>
        <v>Fatima das Gracas Ferreira</v>
      </c>
      <c r="D525" t="str">
        <f>"PROFESSOR NIVEL I"</f>
        <v>PROFESSOR NIVEL I</v>
      </c>
      <c r="E525" t="str">
        <f>"Efetivo-Inativo I- RJUSM"</f>
        <v>Efetivo-Inativo I- RJUSM</v>
      </c>
      <c r="F525" t="str">
        <f>"R$ 2.390,21"</f>
        <v>R$ 2.390,21</v>
      </c>
      <c r="G525" t="str">
        <f>"R$ 3.107,27"</f>
        <v>R$ 3.107,27</v>
      </c>
      <c r="H525" t="str">
        <f t="shared" si="47"/>
        <v>R$ 0,00</v>
      </c>
      <c r="I525" t="str">
        <f>"R$ 3.107,27"</f>
        <v>R$ 3.107,27</v>
      </c>
      <c r="J525" t="str">
        <f>"R$ 1.083,88"</f>
        <v>R$ 1.083,88</v>
      </c>
      <c r="K525" t="str">
        <f>"R$ 2.023,39"</f>
        <v>R$ 2.023,39</v>
      </c>
    </row>
    <row r="526" spans="1:11" x14ac:dyDescent="0.25">
      <c r="A526" t="str">
        <f>"00001171 / 1"</f>
        <v>00001171 / 1</v>
      </c>
      <c r="B526" t="str">
        <f>"13° Salário Anual"</f>
        <v>13° Salário Anual</v>
      </c>
      <c r="C526" t="str">
        <f>"Fatima do Socorro Ferreira da Silva"</f>
        <v>Fatima do Socorro Ferreira da Silva</v>
      </c>
      <c r="D526" t="str">
        <f>"INT INVALIDEZ"</f>
        <v>INT INVALIDEZ</v>
      </c>
      <c r="E526" t="str">
        <f>"Efetivo-Inativo I- RJUSM"</f>
        <v>Efetivo-Inativo I- RJUSM</v>
      </c>
      <c r="F526" t="str">
        <f>"R$ 1.100,00"</f>
        <v>R$ 1.100,00</v>
      </c>
      <c r="G526" t="str">
        <f>"R$ 1.210,00"</f>
        <v>R$ 1.210,00</v>
      </c>
      <c r="H526" t="str">
        <f t="shared" si="47"/>
        <v>R$ 0,00</v>
      </c>
      <c r="I526" t="str">
        <f>"R$ 1.210,00"</f>
        <v>R$ 1.210,00</v>
      </c>
      <c r="J526" t="str">
        <f>"R$ 605,00"</f>
        <v>R$ 605,00</v>
      </c>
      <c r="K526" t="str">
        <f>"R$ 605,00"</f>
        <v>R$ 605,00</v>
      </c>
    </row>
    <row r="527" spans="1:11" x14ac:dyDescent="0.25">
      <c r="A527" t="str">
        <f>"00001171 / 1"</f>
        <v>00001171 / 1</v>
      </c>
      <c r="B527" t="str">
        <f>"Folha Mensal"</f>
        <v>Folha Mensal</v>
      </c>
      <c r="C527" t="str">
        <f>"Fatima do Socorro Ferreira da Silva"</f>
        <v>Fatima do Socorro Ferreira da Silva</v>
      </c>
      <c r="D527" t="str">
        <f>"INT INVALIDEZ"</f>
        <v>INT INVALIDEZ</v>
      </c>
      <c r="E527" t="str">
        <f>"Efetivo-Inativo I- RJUSM"</f>
        <v>Efetivo-Inativo I- RJUSM</v>
      </c>
      <c r="F527" t="str">
        <f>"R$ 1.100,00"</f>
        <v>R$ 1.100,00</v>
      </c>
      <c r="G527" t="str">
        <f>"R$ 1.210,00"</f>
        <v>R$ 1.210,00</v>
      </c>
      <c r="H527" t="str">
        <f t="shared" si="47"/>
        <v>R$ 0,00</v>
      </c>
      <c r="I527" t="str">
        <f>"R$ 1.210,00"</f>
        <v>R$ 1.210,00</v>
      </c>
      <c r="J527" t="str">
        <f>"R$ 368,55"</f>
        <v>R$ 368,55</v>
      </c>
      <c r="K527" t="str">
        <f>"R$ 841,45"</f>
        <v>R$ 841,45</v>
      </c>
    </row>
    <row r="528" spans="1:11" x14ac:dyDescent="0.25">
      <c r="A528" t="str">
        <f>"00001171 / 2"</f>
        <v>00001171 / 2</v>
      </c>
      <c r="B528" t="str">
        <f>"13° Salário Anual"</f>
        <v>13° Salário Anual</v>
      </c>
      <c r="C528" t="str">
        <f>"Fatima do Socorro Ferreira da Silva"</f>
        <v>Fatima do Socorro Ferreira da Silva</v>
      </c>
      <c r="D528" t="str">
        <f>"PENSIONISTA"</f>
        <v>PENSIONISTA</v>
      </c>
      <c r="E528" t="str">
        <f>"Pensionista"</f>
        <v>Pensionista</v>
      </c>
      <c r="F528" t="str">
        <f>"R$ 1.100,00"</f>
        <v>R$ 1.100,00</v>
      </c>
      <c r="G528" t="str">
        <f>"R$ 1.155,00"</f>
        <v>R$ 1.155,00</v>
      </c>
      <c r="H528" t="str">
        <f t="shared" si="47"/>
        <v>R$ 0,00</v>
      </c>
      <c r="I528" t="str">
        <f>"R$ 1.155,00"</f>
        <v>R$ 1.155,00</v>
      </c>
      <c r="J528" t="str">
        <f>"R$ 577,50"</f>
        <v>R$ 577,50</v>
      </c>
      <c r="K528" t="str">
        <f>"R$ 577,50"</f>
        <v>R$ 577,50</v>
      </c>
    </row>
    <row r="529" spans="1:11" x14ac:dyDescent="0.25">
      <c r="A529" t="str">
        <f>"00001171 / 2"</f>
        <v>00001171 / 2</v>
      </c>
      <c r="B529" t="str">
        <f>"Folha Mensal"</f>
        <v>Folha Mensal</v>
      </c>
      <c r="C529" t="str">
        <f>"Fatima do Socorro Ferreira da Silva"</f>
        <v>Fatima do Socorro Ferreira da Silva</v>
      </c>
      <c r="D529" t="str">
        <f>"PENSIONISTA"</f>
        <v>PENSIONISTA</v>
      </c>
      <c r="E529" t="str">
        <f>"Pensionista"</f>
        <v>Pensionista</v>
      </c>
      <c r="F529" t="str">
        <f>"R$ 1.100,00"</f>
        <v>R$ 1.100,00</v>
      </c>
      <c r="G529" t="str">
        <f>"R$ 1.155,00"</f>
        <v>R$ 1.155,00</v>
      </c>
      <c r="H529" t="str">
        <f t="shared" si="47"/>
        <v>R$ 0,00</v>
      </c>
      <c r="I529" t="str">
        <f>"R$ 1.155,00"</f>
        <v>R$ 1.155,00</v>
      </c>
      <c r="J529" t="str">
        <f>"R$ 299,73"</f>
        <v>R$ 299,73</v>
      </c>
      <c r="K529" t="str">
        <f>"R$ 855,27"</f>
        <v>R$ 855,27</v>
      </c>
    </row>
    <row r="530" spans="1:11" x14ac:dyDescent="0.25">
      <c r="A530" t="str">
        <f>"00028150 / 1"</f>
        <v>00028150 / 1</v>
      </c>
      <c r="B530" t="str">
        <f>"13° Salário Anual"</f>
        <v>13° Salário Anual</v>
      </c>
      <c r="C530" t="str">
        <f>"Fatima do Socorro Moraes Ferreira"</f>
        <v>Fatima do Socorro Moraes Ferreira</v>
      </c>
      <c r="D530" t="str">
        <f>"PROFESSOR NIVEL I"</f>
        <v>PROFESSOR NIVEL I</v>
      </c>
      <c r="E530" t="str">
        <f>"Efetivo-Inativos II-RJUSM"</f>
        <v>Efetivo-Inativos II-RJUSM</v>
      </c>
      <c r="F530" t="str">
        <f>"R$ 2.310,53"</f>
        <v>R$ 2.310,53</v>
      </c>
      <c r="G530" t="str">
        <f>"R$ 3.003,68"</f>
        <v>R$ 3.003,68</v>
      </c>
      <c r="H530" t="str">
        <f t="shared" si="47"/>
        <v>R$ 0,00</v>
      </c>
      <c r="I530" t="str">
        <f>"R$ 3.003,68"</f>
        <v>R$ 3.003,68</v>
      </c>
      <c r="J530" t="str">
        <f>"R$ 1.597,59"</f>
        <v>R$ 1.597,59</v>
      </c>
      <c r="K530" t="str">
        <f>"R$ 1.406,09"</f>
        <v>R$ 1.406,09</v>
      </c>
    </row>
    <row r="531" spans="1:11" x14ac:dyDescent="0.25">
      <c r="A531" t="str">
        <f>"00028150 / 1"</f>
        <v>00028150 / 1</v>
      </c>
      <c r="B531" t="str">
        <f>"Folha Mensal"</f>
        <v>Folha Mensal</v>
      </c>
      <c r="C531" t="str">
        <f>"Fatima do Socorro Moraes Ferreira"</f>
        <v>Fatima do Socorro Moraes Ferreira</v>
      </c>
      <c r="D531" t="str">
        <f>"PROFESSOR NIVEL I"</f>
        <v>PROFESSOR NIVEL I</v>
      </c>
      <c r="E531" t="str">
        <f>"Efetivo-Inativos II-RJUSM"</f>
        <v>Efetivo-Inativos II-RJUSM</v>
      </c>
      <c r="F531" t="str">
        <f>"R$ 2.310,53"</f>
        <v>R$ 2.310,53</v>
      </c>
      <c r="G531" t="str">
        <f>"R$ 3.003,68"</f>
        <v>R$ 3.003,68</v>
      </c>
      <c r="H531" t="str">
        <f t="shared" si="47"/>
        <v>R$ 0,00</v>
      </c>
      <c r="I531" t="str">
        <f>"R$ 3.003,68"</f>
        <v>R$ 3.003,68</v>
      </c>
      <c r="J531" t="str">
        <f>"R$ 95,75"</f>
        <v>R$ 95,75</v>
      </c>
      <c r="K531" t="str">
        <f>"R$ 2.907,93"</f>
        <v>R$ 2.907,93</v>
      </c>
    </row>
    <row r="532" spans="1:11" x14ac:dyDescent="0.25">
      <c r="A532" t="str">
        <f>"03642941 / 1"</f>
        <v>03642941 / 1</v>
      </c>
      <c r="B532" t="str">
        <f>"13° Salário Anual"</f>
        <v>13° Salário Anual</v>
      </c>
      <c r="C532" t="str">
        <f>"Fatima Lima Macedo"</f>
        <v>Fatima Lima Macedo</v>
      </c>
      <c r="D532" t="str">
        <f>"INT INVALIDEZ"</f>
        <v>INT INVALIDEZ</v>
      </c>
      <c r="E532" t="str">
        <f>"Efetivo-Inativo I- RJUSM"</f>
        <v>Efetivo-Inativo I- RJUSM</v>
      </c>
      <c r="F532" t="str">
        <f>"R$ 1.100,00"</f>
        <v>R$ 1.100,00</v>
      </c>
      <c r="G532" t="str">
        <f>"R$ 1.210,00"</f>
        <v>R$ 1.210,00</v>
      </c>
      <c r="H532" t="str">
        <f t="shared" si="47"/>
        <v>R$ 0,00</v>
      </c>
      <c r="I532" t="str">
        <f>"R$ 1.210,00"</f>
        <v>R$ 1.210,00</v>
      </c>
      <c r="J532" t="str">
        <f>"R$ 605,00"</f>
        <v>R$ 605,00</v>
      </c>
      <c r="K532" t="str">
        <f>"R$ 605,00"</f>
        <v>R$ 605,00</v>
      </c>
    </row>
    <row r="533" spans="1:11" x14ac:dyDescent="0.25">
      <c r="A533" t="str">
        <f>"03642941 / 1"</f>
        <v>03642941 / 1</v>
      </c>
      <c r="B533" t="str">
        <f>"Folha Mensal"</f>
        <v>Folha Mensal</v>
      </c>
      <c r="C533" t="str">
        <f>"Fatima Lima Macedo"</f>
        <v>Fatima Lima Macedo</v>
      </c>
      <c r="D533" t="str">
        <f>"INT INVALIDEZ"</f>
        <v>INT INVALIDEZ</v>
      </c>
      <c r="E533" t="str">
        <f>"Efetivo-Inativo I- RJUSM"</f>
        <v>Efetivo-Inativo I- RJUSM</v>
      </c>
      <c r="F533" t="str">
        <f>"R$ 1.100,00"</f>
        <v>R$ 1.100,00</v>
      </c>
      <c r="G533" t="str">
        <f>"R$ 1.210,00"</f>
        <v>R$ 1.210,00</v>
      </c>
      <c r="H533" t="str">
        <f t="shared" si="47"/>
        <v>R$ 0,00</v>
      </c>
      <c r="I533" t="str">
        <f>"R$ 1.210,00"</f>
        <v>R$ 1.210,00</v>
      </c>
      <c r="J533" t="str">
        <f>"R$ 314,69"</f>
        <v>R$ 314,69</v>
      </c>
      <c r="K533" t="str">
        <f>"R$ 895,31"</f>
        <v>R$ 895,31</v>
      </c>
    </row>
    <row r="534" spans="1:11" x14ac:dyDescent="0.25">
      <c r="A534" t="str">
        <f>"03641899 / 1"</f>
        <v>03641899 / 1</v>
      </c>
      <c r="B534" t="str">
        <f>"13° Salário Anual"</f>
        <v>13° Salário Anual</v>
      </c>
      <c r="C534" t="str">
        <f>"Felipe da Luz Oliveira"</f>
        <v>Felipe da Luz Oliveira</v>
      </c>
      <c r="D534" t="str">
        <f>"DAS 07"</f>
        <v>DAS 07</v>
      </c>
      <c r="E534" t="str">
        <f>"Comissionado"</f>
        <v>Comissionado</v>
      </c>
      <c r="F534" t="str">
        <f>"R$ 3.154,55"</f>
        <v>R$ 3.154,55</v>
      </c>
      <c r="G534" t="str">
        <f>"R$ 788,63"</f>
        <v>R$ 788,63</v>
      </c>
      <c r="H534" t="str">
        <f t="shared" si="47"/>
        <v>R$ 0,00</v>
      </c>
      <c r="I534" t="str">
        <f>"R$ 788,63"</f>
        <v>R$ 788,63</v>
      </c>
      <c r="J534" t="str">
        <f>"R$ 59,14"</f>
        <v>R$ 59,14</v>
      </c>
      <c r="K534" t="str">
        <f>"R$ 729,49"</f>
        <v>R$ 729,49</v>
      </c>
    </row>
    <row r="535" spans="1:11" x14ac:dyDescent="0.25">
      <c r="A535" t="str">
        <f>"03641899 / 1"</f>
        <v>03641899 / 1</v>
      </c>
      <c r="B535" t="str">
        <f>"Folha Mensal"</f>
        <v>Folha Mensal</v>
      </c>
      <c r="C535" t="str">
        <f>"Felipe da Luz Oliveira"</f>
        <v>Felipe da Luz Oliveira</v>
      </c>
      <c r="D535" t="str">
        <f>"DAS 07"</f>
        <v>DAS 07</v>
      </c>
      <c r="E535" t="str">
        <f>"Comissionado"</f>
        <v>Comissionado</v>
      </c>
      <c r="F535" t="str">
        <f>"R$ 3.154,55"</f>
        <v>R$ 3.154,55</v>
      </c>
      <c r="G535" t="str">
        <f>"R$ 3.154,55"</f>
        <v>R$ 3.154,55</v>
      </c>
      <c r="H535" t="str">
        <f>"R$ 288,00"</f>
        <v>R$ 288,00</v>
      </c>
      <c r="I535" t="str">
        <f>"R$ 3.442,55"</f>
        <v>R$ 3.442,55</v>
      </c>
      <c r="J535" t="str">
        <f>"R$ 559,19"</f>
        <v>R$ 559,19</v>
      </c>
      <c r="K535" t="str">
        <f>"R$ 2.883,36"</f>
        <v>R$ 2.883,36</v>
      </c>
    </row>
    <row r="536" spans="1:11" x14ac:dyDescent="0.25">
      <c r="A536" t="str">
        <f>"03641341 / 1"</f>
        <v>03641341 / 1</v>
      </c>
      <c r="B536" t="str">
        <f>"13° Salário Anual"</f>
        <v>13° Salário Anual</v>
      </c>
      <c r="C536" t="str">
        <f>"Felipe Maciel Cordovil dos Santos"</f>
        <v>Felipe Maciel Cordovil dos Santos</v>
      </c>
      <c r="D536" t="str">
        <f>"PENSIONISTA"</f>
        <v>PENSIONISTA</v>
      </c>
      <c r="E536" t="str">
        <f>"Pensionista"</f>
        <v>Pensionista</v>
      </c>
      <c r="F536" t="str">
        <f>"R$ 677,23"</f>
        <v>R$ 677,23</v>
      </c>
      <c r="G536" t="str">
        <f>"R$ 507,92"</f>
        <v>R$ 507,92</v>
      </c>
      <c r="H536" t="str">
        <f t="shared" ref="H536:H567" si="48">"R$ 0,00"</f>
        <v>R$ 0,00</v>
      </c>
      <c r="I536" t="str">
        <f>"R$ 507,92"</f>
        <v>R$ 507,92</v>
      </c>
      <c r="J536" t="str">
        <f>"R$ 253,97"</f>
        <v>R$ 253,97</v>
      </c>
      <c r="K536" t="str">
        <f>"R$ 253,95"</f>
        <v>R$ 253,95</v>
      </c>
    </row>
    <row r="537" spans="1:11" x14ac:dyDescent="0.25">
      <c r="A537" t="str">
        <f>"03641341 / 1"</f>
        <v>03641341 / 1</v>
      </c>
      <c r="B537" t="str">
        <f>"Folha Mensal"</f>
        <v>Folha Mensal</v>
      </c>
      <c r="C537" t="str">
        <f>"Felipe Maciel Cordovil dos Santos"</f>
        <v>Felipe Maciel Cordovil dos Santos</v>
      </c>
      <c r="D537" t="str">
        <f>"PENSIONISTA"</f>
        <v>PENSIONISTA</v>
      </c>
      <c r="E537" t="str">
        <f>"Pensionista"</f>
        <v>Pensionista</v>
      </c>
      <c r="F537" t="str">
        <f>"R$ 677,23"</f>
        <v>R$ 677,23</v>
      </c>
      <c r="G537" t="str">
        <f>"R$ 677,23"</f>
        <v>R$ 677,23</v>
      </c>
      <c r="H537" t="str">
        <f t="shared" si="48"/>
        <v>R$ 0,00</v>
      </c>
      <c r="I537" t="str">
        <f>"R$ 677,23"</f>
        <v>R$ 677,23</v>
      </c>
      <c r="J537" t="str">
        <f>"R$ 0,00"</f>
        <v>R$ 0,00</v>
      </c>
      <c r="K537" t="str">
        <f>"R$ 677,23"</f>
        <v>R$ 677,23</v>
      </c>
    </row>
    <row r="538" spans="1:11" x14ac:dyDescent="0.25">
      <c r="A538" t="str">
        <f>"03641406 / 1"</f>
        <v>03641406 / 1</v>
      </c>
      <c r="B538" t="str">
        <f>"13° Salário Anual"</f>
        <v>13° Salário Anual</v>
      </c>
      <c r="C538" t="str">
        <f>"Fellipe Wellington Oliveira de Almeida"</f>
        <v>Fellipe Wellington Oliveira de Almeida</v>
      </c>
      <c r="D538" t="str">
        <f>"DAS 06"</f>
        <v>DAS 06</v>
      </c>
      <c r="E538" t="str">
        <f>"Comissionado"</f>
        <v>Comissionado</v>
      </c>
      <c r="F538" t="str">
        <f>"R$ 2.427,00"</f>
        <v>R$ 2.427,00</v>
      </c>
      <c r="G538" t="str">
        <f>"R$ 1.213,50"</f>
        <v>R$ 1.213,50</v>
      </c>
      <c r="H538" t="str">
        <f t="shared" si="48"/>
        <v>R$ 0,00</v>
      </c>
      <c r="I538" t="str">
        <f>"R$ 1.213,50"</f>
        <v>R$ 1.213,50</v>
      </c>
      <c r="J538" t="str">
        <f>"R$ 699,46"</f>
        <v>R$ 699,46</v>
      </c>
      <c r="K538" t="str">
        <f>"R$ 514,04"</f>
        <v>R$ 514,04</v>
      </c>
    </row>
    <row r="539" spans="1:11" x14ac:dyDescent="0.25">
      <c r="A539" t="str">
        <f>"03641406 / 1"</f>
        <v>03641406 / 1</v>
      </c>
      <c r="B539" t="str">
        <f>"Folha Mensal"</f>
        <v>Folha Mensal</v>
      </c>
      <c r="C539" t="str">
        <f>"Fellipe Wellington Oliveira de Almeida"</f>
        <v>Fellipe Wellington Oliveira de Almeida</v>
      </c>
      <c r="D539" t="str">
        <f>"DAS 06"</f>
        <v>DAS 06</v>
      </c>
      <c r="E539" t="str">
        <f>"Comissionado"</f>
        <v>Comissionado</v>
      </c>
      <c r="F539" t="str">
        <f>"R$ 2.427,00"</f>
        <v>R$ 2.427,00</v>
      </c>
      <c r="G539" t="str">
        <f>"R$ 2.427,00"</f>
        <v>R$ 2.427,00</v>
      </c>
      <c r="H539" t="str">
        <f t="shared" si="48"/>
        <v>R$ 0,00</v>
      </c>
      <c r="I539" t="str">
        <f>"R$ 2.427,00"</f>
        <v>R$ 2.427,00</v>
      </c>
      <c r="J539" t="str">
        <f>"R$ 232,20"</f>
        <v>R$ 232,20</v>
      </c>
      <c r="K539" t="str">
        <f>"R$ 2.194,80"</f>
        <v>R$ 2.194,80</v>
      </c>
    </row>
    <row r="540" spans="1:11" x14ac:dyDescent="0.25">
      <c r="A540" t="str">
        <f>"03640655 / 1"</f>
        <v>03640655 / 1</v>
      </c>
      <c r="B540" t="str">
        <f>"13° Salário Anual"</f>
        <v>13° Salário Anual</v>
      </c>
      <c r="C540" t="str">
        <f>"Fernando Nazare de Figueiredo Melo"</f>
        <v>Fernando Nazare de Figueiredo Melo</v>
      </c>
      <c r="D540" t="str">
        <f>"DAS 03 B"</f>
        <v>DAS 03 B</v>
      </c>
      <c r="E540" t="str">
        <f>"Comissionado"</f>
        <v>Comissionado</v>
      </c>
      <c r="F540" t="str">
        <f>"R$ 1.404,28"</f>
        <v>R$ 1.404,28</v>
      </c>
      <c r="G540" t="str">
        <f>"R$ 1.287,25"</f>
        <v>R$ 1.287,25</v>
      </c>
      <c r="H540" t="str">
        <f t="shared" si="48"/>
        <v>R$ 0,00</v>
      </c>
      <c r="I540" t="str">
        <f>"R$ 1.287,25"</f>
        <v>R$ 1.287,25</v>
      </c>
      <c r="J540" t="str">
        <f>"R$ 742,97"</f>
        <v>R$ 742,97</v>
      </c>
      <c r="K540" t="str">
        <f>"R$ 544,28"</f>
        <v>R$ 544,28</v>
      </c>
    </row>
    <row r="541" spans="1:11" x14ac:dyDescent="0.25">
      <c r="A541" t="str">
        <f>"03640655 / 1"</f>
        <v>03640655 / 1</v>
      </c>
      <c r="B541" t="str">
        <f>"Folha Mensal"</f>
        <v>Folha Mensal</v>
      </c>
      <c r="C541" t="str">
        <f>"Fernando Nazare de Figueiredo Melo"</f>
        <v>Fernando Nazare de Figueiredo Melo</v>
      </c>
      <c r="D541" t="str">
        <f>"DAS 03 B"</f>
        <v>DAS 03 B</v>
      </c>
      <c r="E541" t="str">
        <f>"Comissionado"</f>
        <v>Comissionado</v>
      </c>
      <c r="F541" t="str">
        <f>"R$ 1.404,28"</f>
        <v>R$ 1.404,28</v>
      </c>
      <c r="G541" t="str">
        <f>"R$ 1.404,28"</f>
        <v>R$ 1.404,28</v>
      </c>
      <c r="H541" t="str">
        <f t="shared" si="48"/>
        <v>R$ 0,00</v>
      </c>
      <c r="I541" t="str">
        <f>"R$ 1.404,28"</f>
        <v>R$ 1.404,28</v>
      </c>
      <c r="J541" t="str">
        <f>"R$ 109,88"</f>
        <v>R$ 109,88</v>
      </c>
      <c r="K541" t="str">
        <f>"R$ 1.294,40"</f>
        <v>R$ 1.294,40</v>
      </c>
    </row>
    <row r="542" spans="1:11" x14ac:dyDescent="0.25">
      <c r="A542" t="str">
        <f>"00022381 / 1"</f>
        <v>00022381 / 1</v>
      </c>
      <c r="B542" t="str">
        <f>"13° Salário Anual"</f>
        <v>13° Salário Anual</v>
      </c>
      <c r="C542" t="str">
        <f>"Firmo Batista da Luz"</f>
        <v>Firmo Batista da Luz</v>
      </c>
      <c r="D542" t="str">
        <f>"PROP IDADE"</f>
        <v>PROP IDADE</v>
      </c>
      <c r="E542" t="str">
        <f>"Efetivo-Inativo I- RJUSM"</f>
        <v>Efetivo-Inativo I- RJUSM</v>
      </c>
      <c r="F542" t="str">
        <f>"R$ 1.100,00"</f>
        <v>R$ 1.100,00</v>
      </c>
      <c r="G542" t="str">
        <f>"R$ 1.100,00"</f>
        <v>R$ 1.100,00</v>
      </c>
      <c r="H542" t="str">
        <f t="shared" si="48"/>
        <v>R$ 0,00</v>
      </c>
      <c r="I542" t="str">
        <f>"R$ 1.100,00"</f>
        <v>R$ 1.100,00</v>
      </c>
      <c r="J542" t="str">
        <f>"R$ 550,00"</f>
        <v>R$ 550,00</v>
      </c>
      <c r="K542" t="str">
        <f>"R$ 550,00"</f>
        <v>R$ 550,00</v>
      </c>
    </row>
    <row r="543" spans="1:11" x14ac:dyDescent="0.25">
      <c r="A543" t="str">
        <f>"00022381 / 1"</f>
        <v>00022381 / 1</v>
      </c>
      <c r="B543" t="str">
        <f>"Folha Mensal"</f>
        <v>Folha Mensal</v>
      </c>
      <c r="C543" t="str">
        <f>"Firmo Batista da Luz"</f>
        <v>Firmo Batista da Luz</v>
      </c>
      <c r="D543" t="str">
        <f>"PROP IDADE"</f>
        <v>PROP IDADE</v>
      </c>
      <c r="E543" t="str">
        <f>"Efetivo-Inativo I- RJUSM"</f>
        <v>Efetivo-Inativo I- RJUSM</v>
      </c>
      <c r="F543" t="str">
        <f>"R$ 1.100,00"</f>
        <v>R$ 1.100,00</v>
      </c>
      <c r="G543" t="str">
        <f>"R$ 1.100,00"</f>
        <v>R$ 1.100,00</v>
      </c>
      <c r="H543" t="str">
        <f t="shared" si="48"/>
        <v>R$ 0,00</v>
      </c>
      <c r="I543" t="str">
        <f>"R$ 1.100,00"</f>
        <v>R$ 1.100,00</v>
      </c>
      <c r="J543" t="str">
        <f>"R$ 263,85"</f>
        <v>R$ 263,85</v>
      </c>
      <c r="K543" t="str">
        <f>"R$ 836,15"</f>
        <v>R$ 836,15</v>
      </c>
    </row>
    <row r="544" spans="1:11" x14ac:dyDescent="0.25">
      <c r="A544" t="str">
        <f>"00013650 / 2"</f>
        <v>00013650 / 2</v>
      </c>
      <c r="B544" t="str">
        <f>"13° Salário Anual"</f>
        <v>13° Salário Anual</v>
      </c>
      <c r="C544" t="str">
        <f>"Flora Lama Ferreira"</f>
        <v>Flora Lama Ferreira</v>
      </c>
      <c r="D544" t="str">
        <f>"PROFESSOR"</f>
        <v>PROFESSOR</v>
      </c>
      <c r="E544" t="str">
        <f>"Efetivo-Inativo I- RJUSM"</f>
        <v>Efetivo-Inativo I- RJUSM</v>
      </c>
      <c r="F544" t="str">
        <f>"R$ 5.417,81"</f>
        <v>R$ 5.417,81</v>
      </c>
      <c r="G544" t="str">
        <f>"R$ 6.772,26"</f>
        <v>R$ 6.772,26</v>
      </c>
      <c r="H544" t="str">
        <f t="shared" si="48"/>
        <v>R$ 0,00</v>
      </c>
      <c r="I544" t="str">
        <f>"R$ 6.772,26"</f>
        <v>R$ 6.772,26</v>
      </c>
      <c r="J544" t="str">
        <f>"R$ 3.923,66"</f>
        <v>R$ 3.923,66</v>
      </c>
      <c r="K544" t="str">
        <f>"R$ 2.848,60"</f>
        <v>R$ 2.848,60</v>
      </c>
    </row>
    <row r="545" spans="1:11" x14ac:dyDescent="0.25">
      <c r="A545" t="str">
        <f>"00013650 / 2"</f>
        <v>00013650 / 2</v>
      </c>
      <c r="B545" t="str">
        <f>"Folha Mensal"</f>
        <v>Folha Mensal</v>
      </c>
      <c r="C545" t="str">
        <f>"Flora Lama Ferreira"</f>
        <v>Flora Lama Ferreira</v>
      </c>
      <c r="D545" t="str">
        <f>"PROFESSOR"</f>
        <v>PROFESSOR</v>
      </c>
      <c r="E545" t="str">
        <f>"Efetivo-Inativo I- RJUSM"</f>
        <v>Efetivo-Inativo I- RJUSM</v>
      </c>
      <c r="F545" t="str">
        <f>"R$ 5.417,81"</f>
        <v>R$ 5.417,81</v>
      </c>
      <c r="G545" t="str">
        <f>"R$ 6.772,26"</f>
        <v>R$ 6.772,26</v>
      </c>
      <c r="H545" t="str">
        <f t="shared" si="48"/>
        <v>R$ 0,00</v>
      </c>
      <c r="I545" t="str">
        <f>"R$ 6.772,26"</f>
        <v>R$ 6.772,26</v>
      </c>
      <c r="J545" t="str">
        <f>"R$ 1.462,30"</f>
        <v>R$ 1.462,30</v>
      </c>
      <c r="K545" t="str">
        <f>"R$ 5.309,96"</f>
        <v>R$ 5.309,96</v>
      </c>
    </row>
    <row r="546" spans="1:11" x14ac:dyDescent="0.25">
      <c r="A546" t="str">
        <f>"03641732 / 1"</f>
        <v>03641732 / 1</v>
      </c>
      <c r="B546" t="str">
        <f>"13° Salário Anual"</f>
        <v>13° Salário Anual</v>
      </c>
      <c r="C546" t="str">
        <f>"Francilene Correa Serrao"</f>
        <v>Francilene Correa Serrao</v>
      </c>
      <c r="D546" t="str">
        <f>"DAS 08"</f>
        <v>DAS 08</v>
      </c>
      <c r="E546" t="str">
        <f>"Comissionado"</f>
        <v>Comissionado</v>
      </c>
      <c r="F546" t="str">
        <f>"R$ 4.200,00"</f>
        <v>R$ 4.200,00</v>
      </c>
      <c r="G546" t="str">
        <f>"R$ 1.400,00"</f>
        <v>R$ 1.400,00</v>
      </c>
      <c r="H546" t="str">
        <f t="shared" si="48"/>
        <v>R$ 0,00</v>
      </c>
      <c r="I546" t="str">
        <f>"R$ 1.400,00"</f>
        <v>R$ 1.400,00</v>
      </c>
      <c r="J546" t="str">
        <f>"R$ 809,50"</f>
        <v>R$ 809,50</v>
      </c>
      <c r="K546" t="str">
        <f>"R$ 590,50"</f>
        <v>R$ 590,50</v>
      </c>
    </row>
    <row r="547" spans="1:11" x14ac:dyDescent="0.25">
      <c r="A547" t="str">
        <f>"03641732 / 1"</f>
        <v>03641732 / 1</v>
      </c>
      <c r="B547" t="str">
        <f>"Folha Mensal"</f>
        <v>Folha Mensal</v>
      </c>
      <c r="C547" t="str">
        <f>"Francilene Correa Serrao"</f>
        <v>Francilene Correa Serrao</v>
      </c>
      <c r="D547" t="str">
        <f>"DAS 08"</f>
        <v>DAS 08</v>
      </c>
      <c r="E547" t="str">
        <f>"Comissionado"</f>
        <v>Comissionado</v>
      </c>
      <c r="F547" t="str">
        <f>"R$ 4.200,00"</f>
        <v>R$ 4.200,00</v>
      </c>
      <c r="G547" t="str">
        <f>"R$ 4.200,00"</f>
        <v>R$ 4.200,00</v>
      </c>
      <c r="H547" t="str">
        <f t="shared" si="48"/>
        <v>R$ 0,00</v>
      </c>
      <c r="I547" t="str">
        <f>"R$ 4.200,00"</f>
        <v>R$ 4.200,00</v>
      </c>
      <c r="J547" t="str">
        <f>"R$ 649,30"</f>
        <v>R$ 649,30</v>
      </c>
      <c r="K547" t="str">
        <f>"R$ 3.550,70"</f>
        <v>R$ 3.550,70</v>
      </c>
    </row>
    <row r="548" spans="1:11" x14ac:dyDescent="0.25">
      <c r="A548" t="str">
        <f>"03640752 / 1"</f>
        <v>03640752 / 1</v>
      </c>
      <c r="B548" t="str">
        <f>"13° Salário Anual"</f>
        <v>13° Salário Anual</v>
      </c>
      <c r="C548" t="str">
        <f>"Francilene Silva Santos"</f>
        <v>Francilene Silva Santos</v>
      </c>
      <c r="D548" t="str">
        <f>"DAS 07"</f>
        <v>DAS 07</v>
      </c>
      <c r="E548" t="str">
        <f>"Comissionado"</f>
        <v>Comissionado</v>
      </c>
      <c r="F548" t="str">
        <f>"R$ 3.154,55"</f>
        <v>R$ 3.154,55</v>
      </c>
      <c r="G548" t="str">
        <f>"R$ 2.891,67"</f>
        <v>R$ 2.891,67</v>
      </c>
      <c r="H548" t="str">
        <f t="shared" si="48"/>
        <v>R$ 0,00</v>
      </c>
      <c r="I548" t="str">
        <f>"R$ 2.891,67"</f>
        <v>R$ 2.891,67</v>
      </c>
      <c r="J548" t="str">
        <f>"R$ 1.764,46"</f>
        <v>R$ 1.764,46</v>
      </c>
      <c r="K548" t="str">
        <f>"R$ 1.127,21"</f>
        <v>R$ 1.127,21</v>
      </c>
    </row>
    <row r="549" spans="1:11" x14ac:dyDescent="0.25">
      <c r="A549" t="str">
        <f>"03640752 / 1"</f>
        <v>03640752 / 1</v>
      </c>
      <c r="B549" t="str">
        <f>"Folha Mensal"</f>
        <v>Folha Mensal</v>
      </c>
      <c r="C549" t="str">
        <f>"Francilene Silva Santos"</f>
        <v>Francilene Silva Santos</v>
      </c>
      <c r="D549" t="str">
        <f>"DAS 07"</f>
        <v>DAS 07</v>
      </c>
      <c r="E549" t="str">
        <f>"Comissionado"</f>
        <v>Comissionado</v>
      </c>
      <c r="F549" t="str">
        <f>"R$ 3.154,55"</f>
        <v>R$ 3.154,55</v>
      </c>
      <c r="G549" t="str">
        <f>"R$ 3.154,55"</f>
        <v>R$ 3.154,55</v>
      </c>
      <c r="H549" t="str">
        <f t="shared" si="48"/>
        <v>R$ 0,00</v>
      </c>
      <c r="I549" t="str">
        <f>"R$ 3.154,55"</f>
        <v>R$ 3.154,55</v>
      </c>
      <c r="J549" t="str">
        <f>"R$ 369,92"</f>
        <v>R$ 369,92</v>
      </c>
      <c r="K549" t="str">
        <f>"R$ 2.784,63"</f>
        <v>R$ 2.784,63</v>
      </c>
    </row>
    <row r="550" spans="1:11" x14ac:dyDescent="0.25">
      <c r="A550" t="str">
        <f>"00013749 / 2"</f>
        <v>00013749 / 2</v>
      </c>
      <c r="B550" t="str">
        <f>"13° Salário Anual"</f>
        <v>13° Salário Anual</v>
      </c>
      <c r="C550" t="str">
        <f>"Francinelma Maria Rosario de Souza"</f>
        <v>Francinelma Maria Rosario de Souza</v>
      </c>
      <c r="D550" t="str">
        <f>"INT TEMP CONTRIBUICAO"</f>
        <v>INT TEMP CONTRIBUICAO</v>
      </c>
      <c r="E550" t="str">
        <f>"Efetivo-Inativos II-RJUSM"</f>
        <v>Efetivo-Inativos II-RJUSM</v>
      </c>
      <c r="F550" t="str">
        <f>"R$ 1.100,00"</f>
        <v>R$ 1.100,00</v>
      </c>
      <c r="G550" t="str">
        <f>"R$ 1.430,00"</f>
        <v>R$ 1.430,00</v>
      </c>
      <c r="H550" t="str">
        <f t="shared" si="48"/>
        <v>R$ 0,00</v>
      </c>
      <c r="I550" t="str">
        <f>"R$ 1.430,00"</f>
        <v>R$ 1.430,00</v>
      </c>
      <c r="J550" t="str">
        <f>"R$ 715,00"</f>
        <v>R$ 715,00</v>
      </c>
      <c r="K550" t="str">
        <f>"R$ 715,00"</f>
        <v>R$ 715,00</v>
      </c>
    </row>
    <row r="551" spans="1:11" x14ac:dyDescent="0.25">
      <c r="A551" t="str">
        <f>"00013749 / 2"</f>
        <v>00013749 / 2</v>
      </c>
      <c r="B551" t="str">
        <f>"Folha Mensal"</f>
        <v>Folha Mensal</v>
      </c>
      <c r="C551" t="str">
        <f>"Francinelma Maria Rosario de Souza"</f>
        <v>Francinelma Maria Rosario de Souza</v>
      </c>
      <c r="D551" t="str">
        <f>"INT TEMP CONTRIBUICAO"</f>
        <v>INT TEMP CONTRIBUICAO</v>
      </c>
      <c r="E551" t="str">
        <f>"Efetivo-Inativos II-RJUSM"</f>
        <v>Efetivo-Inativos II-RJUSM</v>
      </c>
      <c r="F551" t="str">
        <f>"R$ 1.100,00"</f>
        <v>R$ 1.100,00</v>
      </c>
      <c r="G551" t="str">
        <f>"R$ 1.430,00"</f>
        <v>R$ 1.430,00</v>
      </c>
      <c r="H551" t="str">
        <f t="shared" si="48"/>
        <v>R$ 0,00</v>
      </c>
      <c r="I551" t="str">
        <f>"R$ 1.430,00"</f>
        <v>R$ 1.430,00</v>
      </c>
      <c r="J551" t="str">
        <f>"R$ 0,00"</f>
        <v>R$ 0,00</v>
      </c>
      <c r="K551" t="str">
        <f>"R$ 1.430,00"</f>
        <v>R$ 1.430,00</v>
      </c>
    </row>
    <row r="552" spans="1:11" x14ac:dyDescent="0.25">
      <c r="A552" t="str">
        <f>"03641180 / 1"</f>
        <v>03641180 / 1</v>
      </c>
      <c r="B552" t="str">
        <f>"13° Salário Anual"</f>
        <v>13° Salário Anual</v>
      </c>
      <c r="C552" t="str">
        <f>"Francisca Charles Carneiro Silva"</f>
        <v>Francisca Charles Carneiro Silva</v>
      </c>
      <c r="D552" t="str">
        <f>"DAS 08"</f>
        <v>DAS 08</v>
      </c>
      <c r="E552" t="str">
        <f>"Comissionado"</f>
        <v>Comissionado</v>
      </c>
      <c r="F552" t="str">
        <f>"R$ 4.200,00"</f>
        <v>R$ 4.200,00</v>
      </c>
      <c r="G552" t="str">
        <f>"R$ 3.150,00"</f>
        <v>R$ 3.150,00</v>
      </c>
      <c r="H552" t="str">
        <f t="shared" si="48"/>
        <v>R$ 0,00</v>
      </c>
      <c r="I552" t="str">
        <f>"R$ 3.150,00"</f>
        <v>R$ 3.150,00</v>
      </c>
      <c r="J552" t="str">
        <f>"R$ 1.943,78"</f>
        <v>R$ 1.943,78</v>
      </c>
      <c r="K552" t="str">
        <f>"R$ 1.206,22"</f>
        <v>R$ 1.206,22</v>
      </c>
    </row>
    <row r="553" spans="1:11" x14ac:dyDescent="0.25">
      <c r="A553" t="str">
        <f>"03641180 / 1"</f>
        <v>03641180 / 1</v>
      </c>
      <c r="B553" t="str">
        <f>"Folha Mensal"</f>
        <v>Folha Mensal</v>
      </c>
      <c r="C553" t="str">
        <f>"Francisca Charles Carneiro Silva"</f>
        <v>Francisca Charles Carneiro Silva</v>
      </c>
      <c r="D553" t="str">
        <f>"DAS 08"</f>
        <v>DAS 08</v>
      </c>
      <c r="E553" t="str">
        <f>"Comissionado"</f>
        <v>Comissionado</v>
      </c>
      <c r="F553" t="str">
        <f>"R$ 4.200,00"</f>
        <v>R$ 4.200,00</v>
      </c>
      <c r="G553" t="str">
        <f>"R$ 4.200,00"</f>
        <v>R$ 4.200,00</v>
      </c>
      <c r="H553" t="str">
        <f t="shared" si="48"/>
        <v>R$ 0,00</v>
      </c>
      <c r="I553" t="str">
        <f>"R$ 4.200,00"</f>
        <v>R$ 4.200,00</v>
      </c>
      <c r="J553" t="str">
        <f>"R$ 649,30"</f>
        <v>R$ 649,30</v>
      </c>
      <c r="K553" t="str">
        <f>"R$ 3.550,70"</f>
        <v>R$ 3.550,70</v>
      </c>
    </row>
    <row r="554" spans="1:11" x14ac:dyDescent="0.25">
      <c r="A554" t="str">
        <f>"00008486 / 1"</f>
        <v>00008486 / 1</v>
      </c>
      <c r="B554" t="str">
        <f>"13° Salário Anual"</f>
        <v>13° Salário Anual</v>
      </c>
      <c r="C554" t="str">
        <f>"Francisca Clara Aviz Soares"</f>
        <v>Francisca Clara Aviz Soares</v>
      </c>
      <c r="D554" t="str">
        <f>"PROFESSOR"</f>
        <v>PROFESSOR</v>
      </c>
      <c r="E554" t="str">
        <f>"Efetivo-Inativo I- RJUSM"</f>
        <v>Efetivo-Inativo I- RJUSM</v>
      </c>
      <c r="F554" t="str">
        <f>"R$ 1.593,46"</f>
        <v>R$ 1.593,46</v>
      </c>
      <c r="G554" t="str">
        <f>"R$ 2.071,49"</f>
        <v>R$ 2.071,49</v>
      </c>
      <c r="H554" t="str">
        <f t="shared" si="48"/>
        <v>R$ 0,00</v>
      </c>
      <c r="I554" t="str">
        <f>"R$ 2.071,49"</f>
        <v>R$ 2.071,49</v>
      </c>
      <c r="J554" t="str">
        <f>"R$ 1.048,30"</f>
        <v>R$ 1.048,30</v>
      </c>
      <c r="K554" t="str">
        <f>"R$ 1.023,19"</f>
        <v>R$ 1.023,19</v>
      </c>
    </row>
    <row r="555" spans="1:11" x14ac:dyDescent="0.25">
      <c r="A555" t="str">
        <f>"00008486 / 1"</f>
        <v>00008486 / 1</v>
      </c>
      <c r="B555" t="str">
        <f>"Folha Mensal"</f>
        <v>Folha Mensal</v>
      </c>
      <c r="C555" t="str">
        <f>"Francisca Clara Aviz Soares"</f>
        <v>Francisca Clara Aviz Soares</v>
      </c>
      <c r="D555" t="str">
        <f>"PROFESSOR"</f>
        <v>PROFESSOR</v>
      </c>
      <c r="E555" t="str">
        <f>"Efetivo-Inativo I- RJUSM"</f>
        <v>Efetivo-Inativo I- RJUSM</v>
      </c>
      <c r="F555" t="str">
        <f>"R$ 1.593,46"</f>
        <v>R$ 1.593,46</v>
      </c>
      <c r="G555" t="str">
        <f>"R$ 2.071,49"</f>
        <v>R$ 2.071,49</v>
      </c>
      <c r="H555" t="str">
        <f t="shared" si="48"/>
        <v>R$ 0,00</v>
      </c>
      <c r="I555" t="str">
        <f>"R$ 2.071,49"</f>
        <v>R$ 2.071,49</v>
      </c>
      <c r="J555" t="str">
        <f>"R$ 12,56"</f>
        <v>R$ 12,56</v>
      </c>
      <c r="K555" t="str">
        <f>"R$ 2.058,93"</f>
        <v>R$ 2.058,93</v>
      </c>
    </row>
    <row r="556" spans="1:11" x14ac:dyDescent="0.25">
      <c r="A556" t="str">
        <f>"00002690 / 2"</f>
        <v>00002690 / 2</v>
      </c>
      <c r="B556" t="str">
        <f>"13° Salário Anual"</f>
        <v>13° Salário Anual</v>
      </c>
      <c r="C556" t="str">
        <f>"Francisca Coelho Camelo"</f>
        <v>Francisca Coelho Camelo</v>
      </c>
      <c r="D556" t="str">
        <f>"PROFESSOR NIVEL III"</f>
        <v>PROFESSOR NIVEL III</v>
      </c>
      <c r="E556" t="str">
        <f t="shared" ref="E556:E561" si="49">"Efetivo-Inativos II-RJUSM"</f>
        <v>Efetivo-Inativos II-RJUSM</v>
      </c>
      <c r="F556" t="str">
        <f>"R$ 6.055,17"</f>
        <v>R$ 6.055,17</v>
      </c>
      <c r="G556" t="str">
        <f>"R$ 7.871,72"</f>
        <v>R$ 7.871,72</v>
      </c>
      <c r="H556" t="str">
        <f t="shared" si="48"/>
        <v>R$ 0,00</v>
      </c>
      <c r="I556" t="str">
        <f>"R$ 7.871,72"</f>
        <v>R$ 7.871,72</v>
      </c>
      <c r="J556" t="str">
        <f>"R$ 5.358,80"</f>
        <v>R$ 5.358,80</v>
      </c>
      <c r="K556" t="str">
        <f>"R$ 2.512,92"</f>
        <v>R$ 2.512,92</v>
      </c>
    </row>
    <row r="557" spans="1:11" x14ac:dyDescent="0.25">
      <c r="A557" t="str">
        <f>"00002690 / 2"</f>
        <v>00002690 / 2</v>
      </c>
      <c r="B557" t="str">
        <f>"Folha Mensal"</f>
        <v>Folha Mensal</v>
      </c>
      <c r="C557" t="str">
        <f>"Francisca Coelho Camelo"</f>
        <v>Francisca Coelho Camelo</v>
      </c>
      <c r="D557" t="str">
        <f>"PROFESSOR NIVEL III"</f>
        <v>PROFESSOR NIVEL III</v>
      </c>
      <c r="E557" t="str">
        <f t="shared" si="49"/>
        <v>Efetivo-Inativos II-RJUSM</v>
      </c>
      <c r="F557" t="str">
        <f>"R$ 6.055,17"</f>
        <v>R$ 6.055,17</v>
      </c>
      <c r="G557" t="str">
        <f>"R$ 7.871,72"</f>
        <v>R$ 7.871,72</v>
      </c>
      <c r="H557" t="str">
        <f t="shared" si="48"/>
        <v>R$ 0,00</v>
      </c>
      <c r="I557" t="str">
        <f>"R$ 7.871,72"</f>
        <v>R$ 7.871,72</v>
      </c>
      <c r="J557" t="str">
        <f>"R$ 2.267,35"</f>
        <v>R$ 2.267,35</v>
      </c>
      <c r="K557" t="str">
        <f>"R$ 5.604,37"</f>
        <v>R$ 5.604,37</v>
      </c>
    </row>
    <row r="558" spans="1:11" x14ac:dyDescent="0.25">
      <c r="A558" t="str">
        <f>"00026760 / 2"</f>
        <v>00026760 / 2</v>
      </c>
      <c r="B558" t="str">
        <f>"13° Salário Anual"</f>
        <v>13° Salário Anual</v>
      </c>
      <c r="C558" t="str">
        <f>"Francisca das Chagas Tabosa da Silva"</f>
        <v>Francisca das Chagas Tabosa da Silva</v>
      </c>
      <c r="D558" t="str">
        <f>"PROFESSOR NIVEL III"</f>
        <v>PROFESSOR NIVEL III</v>
      </c>
      <c r="E558" t="str">
        <f t="shared" si="49"/>
        <v>Efetivo-Inativos II-RJUSM</v>
      </c>
      <c r="F558" t="str">
        <f>"R$ 5.895,85"</f>
        <v>R$ 5.895,85</v>
      </c>
      <c r="G558" t="str">
        <f>"R$ 7.664,60"</f>
        <v>R$ 7.664,60</v>
      </c>
      <c r="H558" t="str">
        <f t="shared" si="48"/>
        <v>R$ 0,00</v>
      </c>
      <c r="I558" t="str">
        <f>"R$ 7.664,60"</f>
        <v>R$ 7.664,60</v>
      </c>
      <c r="J558" t="str">
        <f>"R$ 5.229,40"</f>
        <v>R$ 5.229,40</v>
      </c>
      <c r="K558" t="str">
        <f>"R$ 2.435,20"</f>
        <v>R$ 2.435,20</v>
      </c>
    </row>
    <row r="559" spans="1:11" x14ac:dyDescent="0.25">
      <c r="A559" t="str">
        <f>"00026760 / 2"</f>
        <v>00026760 / 2</v>
      </c>
      <c r="B559" t="str">
        <f>"Folha Mensal"</f>
        <v>Folha Mensal</v>
      </c>
      <c r="C559" t="str">
        <f>"Francisca das Chagas Tabosa da Silva"</f>
        <v>Francisca das Chagas Tabosa da Silva</v>
      </c>
      <c r="D559" t="str">
        <f>"PROFESSOR NIVEL III"</f>
        <v>PROFESSOR NIVEL III</v>
      </c>
      <c r="E559" t="str">
        <f t="shared" si="49"/>
        <v>Efetivo-Inativos II-RJUSM</v>
      </c>
      <c r="F559" t="str">
        <f>"R$ 5.895,85"</f>
        <v>R$ 5.895,85</v>
      </c>
      <c r="G559" t="str">
        <f>"R$ 7.664,60"</f>
        <v>R$ 7.664,60</v>
      </c>
      <c r="H559" t="str">
        <f t="shared" si="48"/>
        <v>R$ 0,00</v>
      </c>
      <c r="I559" t="str">
        <f>"R$ 7.664,60"</f>
        <v>R$ 7.664,60</v>
      </c>
      <c r="J559" t="str">
        <f>"R$ 3.377,85"</f>
        <v>R$ 3.377,85</v>
      </c>
      <c r="K559" t="str">
        <f>"R$ 4.286,75"</f>
        <v>R$ 4.286,75</v>
      </c>
    </row>
    <row r="560" spans="1:11" x14ac:dyDescent="0.25">
      <c r="A560" t="str">
        <f>"00028185 / 2"</f>
        <v>00028185 / 2</v>
      </c>
      <c r="B560" t="str">
        <f>"13° Salário Anual"</f>
        <v>13° Salário Anual</v>
      </c>
      <c r="C560" t="str">
        <f>"Francisca das Neves Lima"</f>
        <v>Francisca das Neves Lima</v>
      </c>
      <c r="D560" t="str">
        <f>"INT TEMP CONTRIBUICAO"</f>
        <v>INT TEMP CONTRIBUICAO</v>
      </c>
      <c r="E560" t="str">
        <f t="shared" si="49"/>
        <v>Efetivo-Inativos II-RJUSM</v>
      </c>
      <c r="F560" t="str">
        <f>"R$ 1.100,00"</f>
        <v>R$ 1.100,00</v>
      </c>
      <c r="G560" t="str">
        <f>"R$ 1.430,00"</f>
        <v>R$ 1.430,00</v>
      </c>
      <c r="H560" t="str">
        <f t="shared" si="48"/>
        <v>R$ 0,00</v>
      </c>
      <c r="I560" t="str">
        <f>"R$ 1.430,00"</f>
        <v>R$ 1.430,00</v>
      </c>
      <c r="J560" t="str">
        <f>"R$ 715,00"</f>
        <v>R$ 715,00</v>
      </c>
      <c r="K560" t="str">
        <f>"R$ 715,00"</f>
        <v>R$ 715,00</v>
      </c>
    </row>
    <row r="561" spans="1:11" x14ac:dyDescent="0.25">
      <c r="A561" t="str">
        <f>"00028185 / 2"</f>
        <v>00028185 / 2</v>
      </c>
      <c r="B561" t="str">
        <f>"Folha Mensal"</f>
        <v>Folha Mensal</v>
      </c>
      <c r="C561" t="str">
        <f>"Francisca das Neves Lima"</f>
        <v>Francisca das Neves Lima</v>
      </c>
      <c r="D561" t="str">
        <f>"INT TEMP CONTRIBUICAO"</f>
        <v>INT TEMP CONTRIBUICAO</v>
      </c>
      <c r="E561" t="str">
        <f t="shared" si="49"/>
        <v>Efetivo-Inativos II-RJUSM</v>
      </c>
      <c r="F561" t="str">
        <f>"R$ 1.100,00"</f>
        <v>R$ 1.100,00</v>
      </c>
      <c r="G561" t="str">
        <f>"R$ 1.430,00"</f>
        <v>R$ 1.430,00</v>
      </c>
      <c r="H561" t="str">
        <f t="shared" si="48"/>
        <v>R$ 0,00</v>
      </c>
      <c r="I561" t="str">
        <f>"R$ 1.430,00"</f>
        <v>R$ 1.430,00</v>
      </c>
      <c r="J561" t="str">
        <f>"R$ 386,84"</f>
        <v>R$ 386,84</v>
      </c>
      <c r="K561" t="str">
        <f>"R$ 1.043,16"</f>
        <v>R$ 1.043,16</v>
      </c>
    </row>
    <row r="562" spans="1:11" x14ac:dyDescent="0.25">
      <c r="A562" t="str">
        <f>"00003042 / 1"</f>
        <v>00003042 / 1</v>
      </c>
      <c r="B562" t="str">
        <f>"13° Salário Anual"</f>
        <v>13° Salário Anual</v>
      </c>
      <c r="C562" t="str">
        <f>"Francisca de Fatima de Jesus Braga"</f>
        <v>Francisca de Fatima de Jesus Braga</v>
      </c>
      <c r="D562" t="str">
        <f>"PROFESSOR"</f>
        <v>PROFESSOR</v>
      </c>
      <c r="E562" t="str">
        <f>"Efetivo-Inativo I- RJUSM"</f>
        <v>Efetivo-Inativo I- RJUSM</v>
      </c>
      <c r="F562" t="str">
        <f>"R$ 2.071,51"</f>
        <v>R$ 2.071,51</v>
      </c>
      <c r="G562" t="str">
        <f>"R$ 2.589,38"</f>
        <v>R$ 2.589,38</v>
      </c>
      <c r="H562" t="str">
        <f t="shared" si="48"/>
        <v>R$ 0,00</v>
      </c>
      <c r="I562" t="str">
        <f>"R$ 2.589,38"</f>
        <v>R$ 2.589,38</v>
      </c>
      <c r="J562" t="str">
        <f>"R$ 1.294,69"</f>
        <v>R$ 1.294,69</v>
      </c>
      <c r="K562" t="str">
        <f>"R$ 1.294,69"</f>
        <v>R$ 1.294,69</v>
      </c>
    </row>
    <row r="563" spans="1:11" x14ac:dyDescent="0.25">
      <c r="A563" t="str">
        <f>"00003042 / 1"</f>
        <v>00003042 / 1</v>
      </c>
      <c r="B563" t="str">
        <f>"Folha Mensal"</f>
        <v>Folha Mensal</v>
      </c>
      <c r="C563" t="str">
        <f>"Francisca de Fatima de Jesus Braga"</f>
        <v>Francisca de Fatima de Jesus Braga</v>
      </c>
      <c r="D563" t="str">
        <f>"PROFESSOR"</f>
        <v>PROFESSOR</v>
      </c>
      <c r="E563" t="str">
        <f>"Efetivo-Inativo I- RJUSM"</f>
        <v>Efetivo-Inativo I- RJUSM</v>
      </c>
      <c r="F563" t="str">
        <f>"R$ 2.071,51"</f>
        <v>R$ 2.071,51</v>
      </c>
      <c r="G563" t="str">
        <f>"R$ 2.589,38"</f>
        <v>R$ 2.589,38</v>
      </c>
      <c r="H563" t="str">
        <f t="shared" si="48"/>
        <v>R$ 0,00</v>
      </c>
      <c r="I563" t="str">
        <f>"R$ 2.589,38"</f>
        <v>R$ 2.589,38</v>
      </c>
      <c r="J563" t="str">
        <f>"R$ 0,00"</f>
        <v>R$ 0,00</v>
      </c>
      <c r="K563" t="str">
        <f>"R$ 2.589,38"</f>
        <v>R$ 2.589,38</v>
      </c>
    </row>
    <row r="564" spans="1:11" x14ac:dyDescent="0.25">
      <c r="A564" t="str">
        <f>"03642976 / 1"</f>
        <v>03642976 / 1</v>
      </c>
      <c r="B564" t="str">
        <f>"13° Salário Anual"</f>
        <v>13° Salário Anual</v>
      </c>
      <c r="C564" t="str">
        <f>"Francisca de Jesus do Nascimento Silva"</f>
        <v>Francisca de Jesus do Nascimento Silva</v>
      </c>
      <c r="D564" t="str">
        <f>"PENSIONISTA"</f>
        <v>PENSIONISTA</v>
      </c>
      <c r="E564" t="str">
        <f>"Pensionista"</f>
        <v>Pensionista</v>
      </c>
      <c r="F564" t="str">
        <f>"R$ 1.100,00"</f>
        <v>R$ 1.100,00</v>
      </c>
      <c r="G564" t="str">
        <f>"R$ 1.100,00"</f>
        <v>R$ 1.100,00</v>
      </c>
      <c r="H564" t="str">
        <f t="shared" si="48"/>
        <v>R$ 0,00</v>
      </c>
      <c r="I564" t="str">
        <f>"R$ 1.100,00"</f>
        <v>R$ 1.100,00</v>
      </c>
      <c r="J564" t="str">
        <f>"R$ 550,00"</f>
        <v>R$ 550,00</v>
      </c>
      <c r="K564" t="str">
        <f>"R$ 550,00"</f>
        <v>R$ 550,00</v>
      </c>
    </row>
    <row r="565" spans="1:11" x14ac:dyDescent="0.25">
      <c r="A565" t="str">
        <f>"03642976 / 1"</f>
        <v>03642976 / 1</v>
      </c>
      <c r="B565" t="str">
        <f>"Folha Mensal"</f>
        <v>Folha Mensal</v>
      </c>
      <c r="C565" t="str">
        <f>"Francisca de Jesus do Nascimento Silva"</f>
        <v>Francisca de Jesus do Nascimento Silva</v>
      </c>
      <c r="D565" t="str">
        <f>"PENSIONISTA"</f>
        <v>PENSIONISTA</v>
      </c>
      <c r="E565" t="str">
        <f>"Pensionista"</f>
        <v>Pensionista</v>
      </c>
      <c r="F565" t="str">
        <f>"R$ 1.100,00"</f>
        <v>R$ 1.100,00</v>
      </c>
      <c r="G565" t="str">
        <f>"R$ 1.100,00"</f>
        <v>R$ 1.100,00</v>
      </c>
      <c r="H565" t="str">
        <f t="shared" si="48"/>
        <v>R$ 0,00</v>
      </c>
      <c r="I565" t="str">
        <f>"R$ 1.100,00"</f>
        <v>R$ 1.100,00</v>
      </c>
      <c r="J565" t="str">
        <f>"R$ 329,15"</f>
        <v>R$ 329,15</v>
      </c>
      <c r="K565" t="str">
        <f>"R$ 770,85"</f>
        <v>R$ 770,85</v>
      </c>
    </row>
    <row r="566" spans="1:11" x14ac:dyDescent="0.25">
      <c r="A566" t="str">
        <f>"03643018 / 1"</f>
        <v>03643018 / 1</v>
      </c>
      <c r="B566" t="str">
        <f>"13° Salário Anual"</f>
        <v>13° Salário Anual</v>
      </c>
      <c r="C566" t="str">
        <f>"Francisca Fabiana Leal de Azevedo"</f>
        <v>Francisca Fabiana Leal de Azevedo</v>
      </c>
      <c r="D566" t="str">
        <f>"PENSIONISTA"</f>
        <v>PENSIONISTA</v>
      </c>
      <c r="E566" t="str">
        <f>"Pensionista"</f>
        <v>Pensionista</v>
      </c>
      <c r="F566" t="str">
        <f>"R$ 1.100,00"</f>
        <v>R$ 1.100,00</v>
      </c>
      <c r="G566" t="str">
        <f>"R$ 1.689,48"</f>
        <v>R$ 1.689,48</v>
      </c>
      <c r="H566" t="str">
        <f t="shared" si="48"/>
        <v>R$ 0,00</v>
      </c>
      <c r="I566" t="str">
        <f>"R$ 1.689,48"</f>
        <v>R$ 1.689,48</v>
      </c>
      <c r="J566" t="str">
        <f>"R$ 844,74"</f>
        <v>R$ 844,74</v>
      </c>
      <c r="K566" t="str">
        <f>"R$ 844,74"</f>
        <v>R$ 844,74</v>
      </c>
    </row>
    <row r="567" spans="1:11" x14ac:dyDescent="0.25">
      <c r="A567" t="str">
        <f>"03643018 / 1"</f>
        <v>03643018 / 1</v>
      </c>
      <c r="B567" t="str">
        <f>"Folha Mensal"</f>
        <v>Folha Mensal</v>
      </c>
      <c r="C567" t="str">
        <f>"Francisca Fabiana Leal de Azevedo"</f>
        <v>Francisca Fabiana Leal de Azevedo</v>
      </c>
      <c r="D567" t="str">
        <f>"PENSIONISTA"</f>
        <v>PENSIONISTA</v>
      </c>
      <c r="E567" t="str">
        <f>"Pensionista"</f>
        <v>Pensionista</v>
      </c>
      <c r="F567" t="str">
        <f>"R$ 1.100,00"</f>
        <v>R$ 1.100,00</v>
      </c>
      <c r="G567" t="str">
        <f>"R$ 1.689,48"</f>
        <v>R$ 1.689,48</v>
      </c>
      <c r="H567" t="str">
        <f t="shared" si="48"/>
        <v>R$ 0,00</v>
      </c>
      <c r="I567" t="str">
        <f>"R$ 1.689,48"</f>
        <v>R$ 1.689,48</v>
      </c>
      <c r="J567" t="str">
        <f>"R$ 0,00"</f>
        <v>R$ 0,00</v>
      </c>
      <c r="K567" t="str">
        <f>"R$ 1.689,48"</f>
        <v>R$ 1.689,48</v>
      </c>
    </row>
    <row r="568" spans="1:11" x14ac:dyDescent="0.25">
      <c r="A568" t="str">
        <f>"00010499 / 1"</f>
        <v>00010499 / 1</v>
      </c>
      <c r="B568" t="str">
        <f>"13° Salário Anual"</f>
        <v>13° Salário Anual</v>
      </c>
      <c r="C568" t="str">
        <f>"Francisca Fatima da Silva Sousa"</f>
        <v>Francisca Fatima da Silva Sousa</v>
      </c>
      <c r="D568" t="str">
        <f>"PROFESSOR"</f>
        <v>PROFESSOR</v>
      </c>
      <c r="E568" t="str">
        <f t="shared" ref="E568:E573" si="50">"Efetivo-Inativo I- RJUSM"</f>
        <v>Efetivo-Inativo I- RJUSM</v>
      </c>
      <c r="F568" t="str">
        <f>"R$ 1.593,46"</f>
        <v>R$ 1.593,46</v>
      </c>
      <c r="G568" t="str">
        <f>"R$ 1.912,15"</f>
        <v>R$ 1.912,15</v>
      </c>
      <c r="H568" t="str">
        <f t="shared" ref="H568:H598" si="51">"R$ 0,00"</f>
        <v>R$ 0,00</v>
      </c>
      <c r="I568" t="str">
        <f>"R$ 1.912,15"</f>
        <v>R$ 1.912,15</v>
      </c>
      <c r="J568" t="str">
        <f>"R$ 956,07"</f>
        <v>R$ 956,07</v>
      </c>
      <c r="K568" t="str">
        <f>"R$ 956,08"</f>
        <v>R$ 956,08</v>
      </c>
    </row>
    <row r="569" spans="1:11" x14ac:dyDescent="0.25">
      <c r="A569" t="str">
        <f>"00010499 / 1"</f>
        <v>00010499 / 1</v>
      </c>
      <c r="B569" t="str">
        <f>"Folha Mensal"</f>
        <v>Folha Mensal</v>
      </c>
      <c r="C569" t="str">
        <f>"Francisca Fatima da Silva Sousa"</f>
        <v>Francisca Fatima da Silva Sousa</v>
      </c>
      <c r="D569" t="str">
        <f>"PROFESSOR"</f>
        <v>PROFESSOR</v>
      </c>
      <c r="E569" t="str">
        <f t="shared" si="50"/>
        <v>Efetivo-Inativo I- RJUSM</v>
      </c>
      <c r="F569" t="str">
        <f>"R$ 1.593,46"</f>
        <v>R$ 1.593,46</v>
      </c>
      <c r="G569" t="str">
        <f>"R$ 1.912,15"</f>
        <v>R$ 1.912,15</v>
      </c>
      <c r="H569" t="str">
        <f t="shared" si="51"/>
        <v>R$ 0,00</v>
      </c>
      <c r="I569" t="str">
        <f>"R$ 1.912,15"</f>
        <v>R$ 1.912,15</v>
      </c>
      <c r="J569" t="str">
        <f>"R$ 244,93"</f>
        <v>R$ 244,93</v>
      </c>
      <c r="K569" t="str">
        <f>"R$ 1.667,22"</f>
        <v>R$ 1.667,22</v>
      </c>
    </row>
    <row r="570" spans="1:11" x14ac:dyDescent="0.25">
      <c r="A570" t="str">
        <f>"00010162 / 2"</f>
        <v>00010162 / 2</v>
      </c>
      <c r="B570" t="str">
        <f>"13° Salário Anual"</f>
        <v>13° Salário Anual</v>
      </c>
      <c r="C570" t="str">
        <f>"Francisca Gonzaga de Oliveira"</f>
        <v>Francisca Gonzaga de Oliveira</v>
      </c>
      <c r="D570" t="str">
        <f>"PROP INVALIDEZ"</f>
        <v>PROP INVALIDEZ</v>
      </c>
      <c r="E570" t="str">
        <f t="shared" si="50"/>
        <v>Efetivo-Inativo I- RJUSM</v>
      </c>
      <c r="F570" t="str">
        <f>"R$ 1.100,00"</f>
        <v>R$ 1.100,00</v>
      </c>
      <c r="G570" t="str">
        <f>"R$ 1.100,00"</f>
        <v>R$ 1.100,00</v>
      </c>
      <c r="H570" t="str">
        <f t="shared" si="51"/>
        <v>R$ 0,00</v>
      </c>
      <c r="I570" t="str">
        <f>"R$ 1.100,00"</f>
        <v>R$ 1.100,00</v>
      </c>
      <c r="J570" t="str">
        <f>"R$ 550,00"</f>
        <v>R$ 550,00</v>
      </c>
      <c r="K570" t="str">
        <f>"R$ 550,00"</f>
        <v>R$ 550,00</v>
      </c>
    </row>
    <row r="571" spans="1:11" x14ac:dyDescent="0.25">
      <c r="A571" t="str">
        <f>"00010162 / 2"</f>
        <v>00010162 / 2</v>
      </c>
      <c r="B571" t="str">
        <f>"Folha Mensal"</f>
        <v>Folha Mensal</v>
      </c>
      <c r="C571" t="str">
        <f>"Francisca Gonzaga de Oliveira"</f>
        <v>Francisca Gonzaga de Oliveira</v>
      </c>
      <c r="D571" t="str">
        <f>"PROP INVALIDEZ"</f>
        <v>PROP INVALIDEZ</v>
      </c>
      <c r="E571" t="str">
        <f t="shared" si="50"/>
        <v>Efetivo-Inativo I- RJUSM</v>
      </c>
      <c r="F571" t="str">
        <f>"R$ 1.100,00"</f>
        <v>R$ 1.100,00</v>
      </c>
      <c r="G571" t="str">
        <f>"R$ 1.100,00"</f>
        <v>R$ 1.100,00</v>
      </c>
      <c r="H571" t="str">
        <f t="shared" si="51"/>
        <v>R$ 0,00</v>
      </c>
      <c r="I571" t="str">
        <f>"R$ 1.100,00"</f>
        <v>R$ 1.100,00</v>
      </c>
      <c r="J571" t="str">
        <f>"R$ 0,00"</f>
        <v>R$ 0,00</v>
      </c>
      <c r="K571" t="str">
        <f>"R$ 1.100,00"</f>
        <v>R$ 1.100,00</v>
      </c>
    </row>
    <row r="572" spans="1:11" x14ac:dyDescent="0.25">
      <c r="A572" t="str">
        <f>"00004839 / 1"</f>
        <v>00004839 / 1</v>
      </c>
      <c r="B572" t="str">
        <f>"13° Salário Anual"</f>
        <v>13° Salário Anual</v>
      </c>
      <c r="C572" t="str">
        <f>"Francisca Ramos da Costa"</f>
        <v>Francisca Ramos da Costa</v>
      </c>
      <c r="D572" t="str">
        <f>"PROFESSOR"</f>
        <v>PROFESSOR</v>
      </c>
      <c r="E572" t="str">
        <f t="shared" si="50"/>
        <v>Efetivo-Inativo I- RJUSM</v>
      </c>
      <c r="F572" t="str">
        <f>"R$ 1.593,46"</f>
        <v>R$ 1.593,46</v>
      </c>
      <c r="G572" t="str">
        <f>"R$ 3.585,28"</f>
        <v>R$ 3.585,28</v>
      </c>
      <c r="H572" t="str">
        <f t="shared" si="51"/>
        <v>R$ 0,00</v>
      </c>
      <c r="I572" t="str">
        <f>"R$ 3.585,28"</f>
        <v>R$ 3.585,28</v>
      </c>
      <c r="J572" t="str">
        <f>"R$ 1.792,64"</f>
        <v>R$ 1.792,64</v>
      </c>
      <c r="K572" t="str">
        <f>"R$ 1.792,64"</f>
        <v>R$ 1.792,64</v>
      </c>
    </row>
    <row r="573" spans="1:11" x14ac:dyDescent="0.25">
      <c r="A573" t="str">
        <f>"00004839 / 1"</f>
        <v>00004839 / 1</v>
      </c>
      <c r="B573" t="str">
        <f>"Folha Mensal"</f>
        <v>Folha Mensal</v>
      </c>
      <c r="C573" t="str">
        <f>"Francisca Ramos da Costa"</f>
        <v>Francisca Ramos da Costa</v>
      </c>
      <c r="D573" t="str">
        <f>"PROFESSOR"</f>
        <v>PROFESSOR</v>
      </c>
      <c r="E573" t="str">
        <f t="shared" si="50"/>
        <v>Efetivo-Inativo I- RJUSM</v>
      </c>
      <c r="F573" t="str">
        <f>"R$ 1.593,46"</f>
        <v>R$ 1.593,46</v>
      </c>
      <c r="G573" t="str">
        <f>"R$ 3.585,28"</f>
        <v>R$ 3.585,28</v>
      </c>
      <c r="H573" t="str">
        <f t="shared" si="51"/>
        <v>R$ 0,00</v>
      </c>
      <c r="I573" t="str">
        <f>"R$ 3.585,28"</f>
        <v>R$ 3.585,28</v>
      </c>
      <c r="J573" t="str">
        <f>"R$ 1.284,78"</f>
        <v>R$ 1.284,78</v>
      </c>
      <c r="K573" t="str">
        <f>"R$ 2.300,50"</f>
        <v>R$ 2.300,50</v>
      </c>
    </row>
    <row r="574" spans="1:11" x14ac:dyDescent="0.25">
      <c r="A574" t="str">
        <f>"03643042 / 1"</f>
        <v>03643042 / 1</v>
      </c>
      <c r="B574" t="str">
        <f>"13° Salário Anual"</f>
        <v>13° Salário Anual</v>
      </c>
      <c r="C574" t="str">
        <f>"Francisco Assis Gomes Ribeiro"</f>
        <v>Francisco Assis Gomes Ribeiro</v>
      </c>
      <c r="D574" t="str">
        <f>"PENSIONISTA"</f>
        <v>PENSIONISTA</v>
      </c>
      <c r="E574" t="str">
        <f>"Pensionista"</f>
        <v>Pensionista</v>
      </c>
      <c r="F574" t="str">
        <f>"R$ 1.100,00"</f>
        <v>R$ 1.100,00</v>
      </c>
      <c r="G574" t="str">
        <f>"R$ 1.320,00"</f>
        <v>R$ 1.320,00</v>
      </c>
      <c r="H574" t="str">
        <f t="shared" si="51"/>
        <v>R$ 0,00</v>
      </c>
      <c r="I574" t="str">
        <f>"R$ 1.320,00"</f>
        <v>R$ 1.320,00</v>
      </c>
      <c r="J574" t="str">
        <f>"R$ 660,00"</f>
        <v>R$ 660,00</v>
      </c>
      <c r="K574" t="str">
        <f>"R$ 660,00"</f>
        <v>R$ 660,00</v>
      </c>
    </row>
    <row r="575" spans="1:11" x14ac:dyDescent="0.25">
      <c r="A575" t="str">
        <f>"03643042 / 1"</f>
        <v>03643042 / 1</v>
      </c>
      <c r="B575" t="str">
        <f>"Folha Mensal"</f>
        <v>Folha Mensal</v>
      </c>
      <c r="C575" t="str">
        <f>"Francisco Assis Gomes Ribeiro"</f>
        <v>Francisco Assis Gomes Ribeiro</v>
      </c>
      <c r="D575" t="str">
        <f>"PENSIONISTA"</f>
        <v>PENSIONISTA</v>
      </c>
      <c r="E575" t="str">
        <f>"Pensionista"</f>
        <v>Pensionista</v>
      </c>
      <c r="F575" t="str">
        <f>"R$ 1.100,00"</f>
        <v>R$ 1.100,00</v>
      </c>
      <c r="G575" t="str">
        <f>"R$ 1.320,00"</f>
        <v>R$ 1.320,00</v>
      </c>
      <c r="H575" t="str">
        <f t="shared" si="51"/>
        <v>R$ 0,00</v>
      </c>
      <c r="I575" t="str">
        <f>"R$ 1.320,00"</f>
        <v>R$ 1.320,00</v>
      </c>
      <c r="J575" t="str">
        <f>"R$ 0,00"</f>
        <v>R$ 0,00</v>
      </c>
      <c r="K575" t="str">
        <f>"R$ 1.320,00"</f>
        <v>R$ 1.320,00</v>
      </c>
    </row>
    <row r="576" spans="1:11" x14ac:dyDescent="0.25">
      <c r="A576" t="str">
        <f>"00072974 / 1"</f>
        <v>00072974 / 1</v>
      </c>
      <c r="B576" t="str">
        <f>"13° Salário Anual"</f>
        <v>13° Salário Anual</v>
      </c>
      <c r="C576" t="str">
        <f>"Francisco Chagas de Aragao"</f>
        <v>Francisco Chagas de Aragao</v>
      </c>
      <c r="D576" t="str">
        <f>"PROFESSOR NIVEL III"</f>
        <v>PROFESSOR NIVEL III</v>
      </c>
      <c r="E576" t="str">
        <f>"Efetivo-Inativos II-RJUSM"</f>
        <v>Efetivo-Inativos II-RJUSM</v>
      </c>
      <c r="F576" t="str">
        <f>"R$ 1.346,16"</f>
        <v>R$ 1.346,16</v>
      </c>
      <c r="G576" t="str">
        <f>"R$ 1.346,16"</f>
        <v>R$ 1.346,16</v>
      </c>
      <c r="H576" t="str">
        <f t="shared" si="51"/>
        <v>R$ 0,00</v>
      </c>
      <c r="I576" t="str">
        <f>"R$ 1.346,16"</f>
        <v>R$ 1.346,16</v>
      </c>
      <c r="J576" t="str">
        <f>"R$ 673,08"</f>
        <v>R$ 673,08</v>
      </c>
      <c r="K576" t="str">
        <f>"R$ 673,08"</f>
        <v>R$ 673,08</v>
      </c>
    </row>
    <row r="577" spans="1:11" x14ac:dyDescent="0.25">
      <c r="A577" t="str">
        <f>"00072974 / 1"</f>
        <v>00072974 / 1</v>
      </c>
      <c r="B577" t="str">
        <f>"Folha Mensal"</f>
        <v>Folha Mensal</v>
      </c>
      <c r="C577" t="str">
        <f>"Francisco Chagas de Aragao"</f>
        <v>Francisco Chagas de Aragao</v>
      </c>
      <c r="D577" t="str">
        <f>"PROFESSOR NIVEL III"</f>
        <v>PROFESSOR NIVEL III</v>
      </c>
      <c r="E577" t="str">
        <f>"Efetivo-Inativos II-RJUSM"</f>
        <v>Efetivo-Inativos II-RJUSM</v>
      </c>
      <c r="F577" t="str">
        <f>"R$ 1.346,16"</f>
        <v>R$ 1.346,16</v>
      </c>
      <c r="G577" t="str">
        <f>"R$ 1.346,16"</f>
        <v>R$ 1.346,16</v>
      </c>
      <c r="H577" t="str">
        <f t="shared" si="51"/>
        <v>R$ 0,00</v>
      </c>
      <c r="I577" t="str">
        <f>"R$ 1.346,16"</f>
        <v>R$ 1.346,16</v>
      </c>
      <c r="J577" t="str">
        <f>"R$ 0,00"</f>
        <v>R$ 0,00</v>
      </c>
      <c r="K577" t="str">
        <f>"R$ 1.346,16"</f>
        <v>R$ 1.346,16</v>
      </c>
    </row>
    <row r="578" spans="1:11" x14ac:dyDescent="0.25">
      <c r="A578" t="str">
        <f>"00077976 / 1"</f>
        <v>00077976 / 1</v>
      </c>
      <c r="B578" t="str">
        <f>"13° Salário Anual"</f>
        <v>13° Salário Anual</v>
      </c>
      <c r="C578" t="str">
        <f>"Francisco Coelho dos Santos"</f>
        <v>Francisco Coelho dos Santos</v>
      </c>
      <c r="D578" t="str">
        <f>"PENSIONISTA"</f>
        <v>PENSIONISTA</v>
      </c>
      <c r="E578" t="str">
        <f>"Pensionista"</f>
        <v>Pensionista</v>
      </c>
      <c r="F578" t="str">
        <f>"R$ 1.100,00"</f>
        <v>R$ 1.100,00</v>
      </c>
      <c r="G578" t="str">
        <f>"R$ 1.265,00"</f>
        <v>R$ 1.265,00</v>
      </c>
      <c r="H578" t="str">
        <f t="shared" si="51"/>
        <v>R$ 0,00</v>
      </c>
      <c r="I578" t="str">
        <f>"R$ 1.265,00"</f>
        <v>R$ 1.265,00</v>
      </c>
      <c r="J578" t="str">
        <f>"R$ 632,50"</f>
        <v>R$ 632,50</v>
      </c>
      <c r="K578" t="str">
        <f>"R$ 632,50"</f>
        <v>R$ 632,50</v>
      </c>
    </row>
    <row r="579" spans="1:11" x14ac:dyDescent="0.25">
      <c r="A579" t="str">
        <f>"00077976 / 1"</f>
        <v>00077976 / 1</v>
      </c>
      <c r="B579" t="str">
        <f>"Folha Mensal"</f>
        <v>Folha Mensal</v>
      </c>
      <c r="C579" t="str">
        <f>"Francisco Coelho dos Santos"</f>
        <v>Francisco Coelho dos Santos</v>
      </c>
      <c r="D579" t="str">
        <f>"PENSIONISTA"</f>
        <v>PENSIONISTA</v>
      </c>
      <c r="E579" t="str">
        <f>"Pensionista"</f>
        <v>Pensionista</v>
      </c>
      <c r="F579" t="str">
        <f>"R$ 1.100,00"</f>
        <v>R$ 1.100,00</v>
      </c>
      <c r="G579" t="str">
        <f>"R$ 1.265,00"</f>
        <v>R$ 1.265,00</v>
      </c>
      <c r="H579" t="str">
        <f t="shared" si="51"/>
        <v>R$ 0,00</v>
      </c>
      <c r="I579" t="str">
        <f>"R$ 1.265,00"</f>
        <v>R$ 1.265,00</v>
      </c>
      <c r="J579" t="str">
        <f>"R$ 315,10"</f>
        <v>R$ 315,10</v>
      </c>
      <c r="K579" t="str">
        <f>"R$ 949,90"</f>
        <v>R$ 949,90</v>
      </c>
    </row>
    <row r="580" spans="1:11" x14ac:dyDescent="0.25">
      <c r="A580" t="str">
        <f>"03642500 / 1"</f>
        <v>03642500 / 1</v>
      </c>
      <c r="B580" t="str">
        <f>"13° Salário Anual"</f>
        <v>13° Salário Anual</v>
      </c>
      <c r="C580" t="str">
        <f>"Francisco Correa de Souza"</f>
        <v>Francisco Correa de Souza</v>
      </c>
      <c r="D580" t="str">
        <f>"PENSIONISTA DE PROFESSOR"</f>
        <v>PENSIONISTA DE PROFESSOR</v>
      </c>
      <c r="E580" t="str">
        <f>"Pensionista"</f>
        <v>Pensionista</v>
      </c>
      <c r="F580" t="str">
        <f>"R$ 1.593,46"</f>
        <v>R$ 1.593,46</v>
      </c>
      <c r="G580" t="str">
        <f>"R$ 1.991,82"</f>
        <v>R$ 1.991,82</v>
      </c>
      <c r="H580" t="str">
        <f t="shared" si="51"/>
        <v>R$ 0,00</v>
      </c>
      <c r="I580" t="str">
        <f>"R$ 1.991,82"</f>
        <v>R$ 1.991,82</v>
      </c>
      <c r="J580" t="str">
        <f>"R$ 995,91"</f>
        <v>R$ 995,91</v>
      </c>
      <c r="K580" t="str">
        <f>"R$ 995,91"</f>
        <v>R$ 995,91</v>
      </c>
    </row>
    <row r="581" spans="1:11" x14ac:dyDescent="0.25">
      <c r="A581" t="str">
        <f>"03642500 / 1"</f>
        <v>03642500 / 1</v>
      </c>
      <c r="B581" t="str">
        <f>"Folha Mensal"</f>
        <v>Folha Mensal</v>
      </c>
      <c r="C581" t="str">
        <f>"Francisco Correa de Souza"</f>
        <v>Francisco Correa de Souza</v>
      </c>
      <c r="D581" t="str">
        <f>"PENSIONISTA DE PROFESSOR"</f>
        <v>PENSIONISTA DE PROFESSOR</v>
      </c>
      <c r="E581" t="str">
        <f>"Pensionista"</f>
        <v>Pensionista</v>
      </c>
      <c r="F581" t="str">
        <f>"R$ 1.593,46"</f>
        <v>R$ 1.593,46</v>
      </c>
      <c r="G581" t="str">
        <f>"R$ 1.991,82"</f>
        <v>R$ 1.991,82</v>
      </c>
      <c r="H581" t="str">
        <f t="shared" si="51"/>
        <v>R$ 0,00</v>
      </c>
      <c r="I581" t="str">
        <f>"R$ 1.991,82"</f>
        <v>R$ 1.991,82</v>
      </c>
      <c r="J581" t="str">
        <f>"R$ 576,52"</f>
        <v>R$ 576,52</v>
      </c>
      <c r="K581" t="str">
        <f>"R$ 1.415,30"</f>
        <v>R$ 1.415,30</v>
      </c>
    </row>
    <row r="582" spans="1:11" x14ac:dyDescent="0.25">
      <c r="A582" t="str">
        <f>"03641619 / 1"</f>
        <v>03641619 / 1</v>
      </c>
      <c r="B582" t="str">
        <f>"13° Salário Anual"</f>
        <v>13° Salário Anual</v>
      </c>
      <c r="C582" t="str">
        <f>"Francisco Jorge Ribeiro do Nascimento"</f>
        <v>Francisco Jorge Ribeiro do Nascimento</v>
      </c>
      <c r="D582" t="str">
        <f>"DAS 04"</f>
        <v>DAS 04</v>
      </c>
      <c r="E582" t="str">
        <f>"Comissionado"</f>
        <v>Comissionado</v>
      </c>
      <c r="F582" t="str">
        <f>"R$ 1.685,13"</f>
        <v>R$ 1.685,13</v>
      </c>
      <c r="G582" t="str">
        <f>"R$ 842,56"</f>
        <v>R$ 842,56</v>
      </c>
      <c r="H582" t="str">
        <f t="shared" si="51"/>
        <v>R$ 0,00</v>
      </c>
      <c r="I582" t="str">
        <f>"R$ 842,56"</f>
        <v>R$ 842,56</v>
      </c>
      <c r="J582" t="str">
        <f>"R$ 484,47"</f>
        <v>R$ 484,47</v>
      </c>
      <c r="K582" t="str">
        <f>"R$ 358,09"</f>
        <v>R$ 358,09</v>
      </c>
    </row>
    <row r="583" spans="1:11" x14ac:dyDescent="0.25">
      <c r="A583" t="str">
        <f>"03641619 / 1"</f>
        <v>03641619 / 1</v>
      </c>
      <c r="B583" t="str">
        <f>"Folha Mensal"</f>
        <v>Folha Mensal</v>
      </c>
      <c r="C583" t="str">
        <f>"Francisco Jorge Ribeiro do Nascimento"</f>
        <v>Francisco Jorge Ribeiro do Nascimento</v>
      </c>
      <c r="D583" t="str">
        <f>"DAS 04"</f>
        <v>DAS 04</v>
      </c>
      <c r="E583" t="str">
        <f>"Comissionado"</f>
        <v>Comissionado</v>
      </c>
      <c r="F583" t="str">
        <f>"R$ 1.685,13"</f>
        <v>R$ 1.685,13</v>
      </c>
      <c r="G583" t="str">
        <f>"R$ 1.685,13"</f>
        <v>R$ 1.685,13</v>
      </c>
      <c r="H583" t="str">
        <f t="shared" si="51"/>
        <v>R$ 0,00</v>
      </c>
      <c r="I583" t="str">
        <f>"R$ 1.685,13"</f>
        <v>R$ 1.685,13</v>
      </c>
      <c r="J583" t="str">
        <f>"R$ 135,16"</f>
        <v>R$ 135,16</v>
      </c>
      <c r="K583" t="str">
        <f>"R$ 1.549,97"</f>
        <v>R$ 1.549,97</v>
      </c>
    </row>
    <row r="584" spans="1:11" x14ac:dyDescent="0.25">
      <c r="A584" t="str">
        <f>"00014478 / 1"</f>
        <v>00014478 / 1</v>
      </c>
      <c r="B584" t="str">
        <f>"13° Salário Anual"</f>
        <v>13° Salário Anual</v>
      </c>
      <c r="C584" t="str">
        <f>"Francisco Pinheiro Ribeiro"</f>
        <v>Francisco Pinheiro Ribeiro</v>
      </c>
      <c r="D584" t="str">
        <f>"INT TEMP SERVICO"</f>
        <v>INT TEMP SERVICO</v>
      </c>
      <c r="E584" t="str">
        <f>"Efetivo-Inativo I- RJUSM"</f>
        <v>Efetivo-Inativo I- RJUSM</v>
      </c>
      <c r="F584" t="str">
        <f>"R$ 2.046,03"</f>
        <v>R$ 2.046,03</v>
      </c>
      <c r="G584" t="str">
        <f>"R$ 2.455,23"</f>
        <v>R$ 2.455,23</v>
      </c>
      <c r="H584" t="str">
        <f t="shared" si="51"/>
        <v>R$ 0,00</v>
      </c>
      <c r="I584" t="str">
        <f>"R$ 2.455,23"</f>
        <v>R$ 2.455,23</v>
      </c>
      <c r="J584" t="str">
        <f>"R$ 1.227,61"</f>
        <v>R$ 1.227,61</v>
      </c>
      <c r="K584" t="str">
        <f>"R$ 1.227,62"</f>
        <v>R$ 1.227,62</v>
      </c>
    </row>
    <row r="585" spans="1:11" x14ac:dyDescent="0.25">
      <c r="A585" t="str">
        <f>"00014478 / 1"</f>
        <v>00014478 / 1</v>
      </c>
      <c r="B585" t="str">
        <f>"Folha Mensal"</f>
        <v>Folha Mensal</v>
      </c>
      <c r="C585" t="str">
        <f>"Francisco Pinheiro Ribeiro"</f>
        <v>Francisco Pinheiro Ribeiro</v>
      </c>
      <c r="D585" t="str">
        <f>"INT TEMP SERVICO"</f>
        <v>INT TEMP SERVICO</v>
      </c>
      <c r="E585" t="str">
        <f>"Efetivo-Inativo I- RJUSM"</f>
        <v>Efetivo-Inativo I- RJUSM</v>
      </c>
      <c r="F585" t="str">
        <f>"R$ 2.046,03"</f>
        <v>R$ 2.046,03</v>
      </c>
      <c r="G585" t="str">
        <f>"R$ 2.455,23"</f>
        <v>R$ 2.455,23</v>
      </c>
      <c r="H585" t="str">
        <f t="shared" si="51"/>
        <v>R$ 0,00</v>
      </c>
      <c r="I585" t="str">
        <f>"R$ 2.455,23"</f>
        <v>R$ 2.455,23</v>
      </c>
      <c r="J585" t="str">
        <f>"R$ 0,00"</f>
        <v>R$ 0,00</v>
      </c>
      <c r="K585" t="str">
        <f>"R$ 2.455,23"</f>
        <v>R$ 2.455,23</v>
      </c>
    </row>
    <row r="586" spans="1:11" x14ac:dyDescent="0.25">
      <c r="A586" t="str">
        <f>"03641945 / 1"</f>
        <v>03641945 / 1</v>
      </c>
      <c r="B586" t="str">
        <f>"13° Salário Anual"</f>
        <v>13° Salário Anual</v>
      </c>
      <c r="C586" t="str">
        <f>"Gabriela Alvarenga Martires Coelho"</f>
        <v>Gabriela Alvarenga Martires Coelho</v>
      </c>
      <c r="D586" t="str">
        <f>"DAS 08"</f>
        <v>DAS 08</v>
      </c>
      <c r="E586" t="str">
        <f>"Comissionado"</f>
        <v>Comissionado</v>
      </c>
      <c r="F586" t="str">
        <f>"R$ 4.200,00"</f>
        <v>R$ 4.200,00</v>
      </c>
      <c r="G586" t="str">
        <f>"R$ 1.050,00"</f>
        <v>R$ 1.050,00</v>
      </c>
      <c r="H586" t="str">
        <f t="shared" si="51"/>
        <v>R$ 0,00</v>
      </c>
      <c r="I586" t="str">
        <f>"R$ 1.050,00"</f>
        <v>R$ 1.050,00</v>
      </c>
      <c r="J586" t="str">
        <f>"R$ 78,75"</f>
        <v>R$ 78,75</v>
      </c>
      <c r="K586" t="str">
        <f>"R$ 971,25"</f>
        <v>R$ 971,25</v>
      </c>
    </row>
    <row r="587" spans="1:11" x14ac:dyDescent="0.25">
      <c r="A587" t="str">
        <f>"03641945 / 1"</f>
        <v>03641945 / 1</v>
      </c>
      <c r="B587" t="str">
        <f>"Folha Mensal"</f>
        <v>Folha Mensal</v>
      </c>
      <c r="C587" t="str">
        <f>"Gabriela Alvarenga Martires Coelho"</f>
        <v>Gabriela Alvarenga Martires Coelho</v>
      </c>
      <c r="D587" t="str">
        <f>"DAS 08"</f>
        <v>DAS 08</v>
      </c>
      <c r="E587" t="str">
        <f>"Comissionado"</f>
        <v>Comissionado</v>
      </c>
      <c r="F587" t="str">
        <f>"R$ 4.200,00"</f>
        <v>R$ 4.200,00</v>
      </c>
      <c r="G587" t="str">
        <f>"R$ 4.200,00"</f>
        <v>R$ 4.200,00</v>
      </c>
      <c r="H587" t="str">
        <f t="shared" si="51"/>
        <v>R$ 0,00</v>
      </c>
      <c r="I587" t="str">
        <f>"R$ 4.200,00"</f>
        <v>R$ 4.200,00</v>
      </c>
      <c r="J587" t="str">
        <f>"R$ 649,30"</f>
        <v>R$ 649,30</v>
      </c>
      <c r="K587" t="str">
        <f>"R$ 3.550,70"</f>
        <v>R$ 3.550,70</v>
      </c>
    </row>
    <row r="588" spans="1:11" x14ac:dyDescent="0.25">
      <c r="A588" t="str">
        <f>"00030236 / 2"</f>
        <v>00030236 / 2</v>
      </c>
      <c r="B588" t="str">
        <f>"13° Salário Anual"</f>
        <v>13° Salário Anual</v>
      </c>
      <c r="C588" t="str">
        <f>"Gelsa Henrique da Silva Araujo"</f>
        <v>Gelsa Henrique da Silva Araujo</v>
      </c>
      <c r="D588" t="str">
        <f>"PROFESSOR NIVEL II"</f>
        <v>PROFESSOR NIVEL II</v>
      </c>
      <c r="E588" t="str">
        <f>"Efetivo-Inativos II-RJUSM"</f>
        <v>Efetivo-Inativos II-RJUSM</v>
      </c>
      <c r="F588" t="str">
        <f>"R$ 5.736,47"</f>
        <v>R$ 5.736,47</v>
      </c>
      <c r="G588" t="str">
        <f>"R$ 7.457,41"</f>
        <v>R$ 7.457,41</v>
      </c>
      <c r="H588" t="str">
        <f t="shared" si="51"/>
        <v>R$ 0,00</v>
      </c>
      <c r="I588" t="str">
        <f>"R$ 7.457,41"</f>
        <v>R$ 7.457,41</v>
      </c>
      <c r="J588" t="str">
        <f>"R$ 4.995,65"</f>
        <v>R$ 4.995,65</v>
      </c>
      <c r="K588" t="str">
        <f>"R$ 2.461,76"</f>
        <v>R$ 2.461,76</v>
      </c>
    </row>
    <row r="589" spans="1:11" x14ac:dyDescent="0.25">
      <c r="A589" t="str">
        <f>"00030236 / 2"</f>
        <v>00030236 / 2</v>
      </c>
      <c r="B589" t="str">
        <f>"Folha Mensal"</f>
        <v>Folha Mensal</v>
      </c>
      <c r="C589" t="str">
        <f>"Gelsa Henrique da Silva Araujo"</f>
        <v>Gelsa Henrique da Silva Araujo</v>
      </c>
      <c r="D589" t="str">
        <f>"PROFESSOR NIVEL II"</f>
        <v>PROFESSOR NIVEL II</v>
      </c>
      <c r="E589" t="str">
        <f>"Efetivo-Inativos II-RJUSM"</f>
        <v>Efetivo-Inativos II-RJUSM</v>
      </c>
      <c r="F589" t="str">
        <f>"R$ 5.736,47"</f>
        <v>R$ 5.736,47</v>
      </c>
      <c r="G589" t="str">
        <f>"R$ 7.457,41"</f>
        <v>R$ 7.457,41</v>
      </c>
      <c r="H589" t="str">
        <f t="shared" si="51"/>
        <v>R$ 0,00</v>
      </c>
      <c r="I589" t="str">
        <f>"R$ 7.457,41"</f>
        <v>R$ 7.457,41</v>
      </c>
      <c r="J589" t="str">
        <f>"R$ 1.266,95"</f>
        <v>R$ 1.266,95</v>
      </c>
      <c r="K589" t="str">
        <f>"R$ 6.190,46"</f>
        <v>R$ 6.190,46</v>
      </c>
    </row>
    <row r="590" spans="1:11" x14ac:dyDescent="0.25">
      <c r="A590" t="str">
        <f>"00278416 / 3"</f>
        <v>00278416 / 3</v>
      </c>
      <c r="B590" t="str">
        <f>"13° Salário Anual"</f>
        <v>13° Salário Anual</v>
      </c>
      <c r="C590" t="str">
        <f>"Georgina de Fatima Silva dos Santos"</f>
        <v>Georgina de Fatima Silva dos Santos</v>
      </c>
      <c r="D590" t="str">
        <f>"PROFESSOR"</f>
        <v>PROFESSOR</v>
      </c>
      <c r="E590" t="str">
        <f>"Efetivo-Inativo I- RJUSM"</f>
        <v>Efetivo-Inativo I- RJUSM</v>
      </c>
      <c r="F590" t="str">
        <f>"R$ 2.230,85"</f>
        <v>R$ 2.230,85</v>
      </c>
      <c r="G590" t="str">
        <f>"R$ 2.900,10"</f>
        <v>R$ 2.900,10</v>
      </c>
      <c r="H590" t="str">
        <f t="shared" si="51"/>
        <v>R$ 0,00</v>
      </c>
      <c r="I590" t="str">
        <f>"R$ 2.900,10"</f>
        <v>R$ 2.900,10</v>
      </c>
      <c r="J590" t="str">
        <f>"R$ 1.510,53"</f>
        <v>R$ 1.510,53</v>
      </c>
      <c r="K590" t="str">
        <f>"R$ 1.389,57"</f>
        <v>R$ 1.389,57</v>
      </c>
    </row>
    <row r="591" spans="1:11" x14ac:dyDescent="0.25">
      <c r="A591" t="str">
        <f>"00278416 / 3"</f>
        <v>00278416 / 3</v>
      </c>
      <c r="B591" t="str">
        <f>"Folha Mensal"</f>
        <v>Folha Mensal</v>
      </c>
      <c r="C591" t="str">
        <f>"Georgina de Fatima Silva dos Santos"</f>
        <v>Georgina de Fatima Silva dos Santos</v>
      </c>
      <c r="D591" t="str">
        <f>"PROFESSOR"</f>
        <v>PROFESSOR</v>
      </c>
      <c r="E591" t="str">
        <f>"Efetivo-Inativo I- RJUSM"</f>
        <v>Efetivo-Inativo I- RJUSM</v>
      </c>
      <c r="F591" t="str">
        <f>"R$ 2.230,85"</f>
        <v>R$ 2.230,85</v>
      </c>
      <c r="G591" t="str">
        <f>"R$ 2.900,10"</f>
        <v>R$ 2.900,10</v>
      </c>
      <c r="H591" t="str">
        <f t="shared" si="51"/>
        <v>R$ 0,00</v>
      </c>
      <c r="I591" t="str">
        <f>"R$ 2.900,10"</f>
        <v>R$ 2.900,10</v>
      </c>
      <c r="J591" t="str">
        <f>"R$ 909,46"</f>
        <v>R$ 909,46</v>
      </c>
      <c r="K591" t="str">
        <f>"R$ 1.990,64"</f>
        <v>R$ 1.990,64</v>
      </c>
    </row>
    <row r="592" spans="1:11" x14ac:dyDescent="0.25">
      <c r="A592" t="str">
        <f>"00172901 / 1"</f>
        <v>00172901 / 1</v>
      </c>
      <c r="B592" t="str">
        <f>"13° Salário Anual"</f>
        <v>13° Salário Anual</v>
      </c>
      <c r="C592" t="str">
        <f>"Gerson da Cruz Monte Junior"</f>
        <v>Gerson da Cruz Monte Junior</v>
      </c>
      <c r="D592" t="str">
        <f>"PROFESSOR NIVEL IV"</f>
        <v>PROFESSOR NIVEL IV</v>
      </c>
      <c r="E592" t="str">
        <f>"Efetivo-Inativos II-RJUSM"</f>
        <v>Efetivo-Inativos II-RJUSM</v>
      </c>
      <c r="F592" t="str">
        <f>"R$ 5.019,43"</f>
        <v>R$ 5.019,43</v>
      </c>
      <c r="G592" t="str">
        <f>"R$ 5.521,37"</f>
        <v>R$ 5.521,37</v>
      </c>
      <c r="H592" t="str">
        <f t="shared" si="51"/>
        <v>R$ 0,00</v>
      </c>
      <c r="I592" t="str">
        <f>"R$ 5.521,37"</f>
        <v>R$ 5.521,37</v>
      </c>
      <c r="J592" t="str">
        <f>"R$ 3.659,97"</f>
        <v>R$ 3.659,97</v>
      </c>
      <c r="K592" t="str">
        <f>"R$ 1.861,40"</f>
        <v>R$ 1.861,40</v>
      </c>
    </row>
    <row r="593" spans="1:11" x14ac:dyDescent="0.25">
      <c r="A593" t="str">
        <f>"00172901 / 1"</f>
        <v>00172901 / 1</v>
      </c>
      <c r="B593" t="str">
        <f>"Folha Mensal"</f>
        <v>Folha Mensal</v>
      </c>
      <c r="C593" t="str">
        <f>"Gerson da Cruz Monte Junior"</f>
        <v>Gerson da Cruz Monte Junior</v>
      </c>
      <c r="D593" t="str">
        <f>"PROFESSOR NIVEL IV"</f>
        <v>PROFESSOR NIVEL IV</v>
      </c>
      <c r="E593" t="str">
        <f>"Efetivo-Inativos II-RJUSM"</f>
        <v>Efetivo-Inativos II-RJUSM</v>
      </c>
      <c r="F593" t="str">
        <f>"R$ 5.019,43"</f>
        <v>R$ 5.019,43</v>
      </c>
      <c r="G593" t="str">
        <f>"R$ 5.521,37"</f>
        <v>R$ 5.521,37</v>
      </c>
      <c r="H593" t="str">
        <f t="shared" si="51"/>
        <v>R$ 0,00</v>
      </c>
      <c r="I593" t="str">
        <f>"R$ 5.521,37"</f>
        <v>R$ 5.521,37</v>
      </c>
      <c r="J593" t="str">
        <f>"R$ 1.341,00"</f>
        <v>R$ 1.341,00</v>
      </c>
      <c r="K593" t="str">
        <f>"R$ 4.180,37"</f>
        <v>R$ 4.180,37</v>
      </c>
    </row>
    <row r="594" spans="1:11" x14ac:dyDescent="0.25">
      <c r="A594" t="str">
        <f>"00027570 / 1"</f>
        <v>00027570 / 1</v>
      </c>
      <c r="B594" t="str">
        <f>"13° Salário Anual"</f>
        <v>13° Salário Anual</v>
      </c>
      <c r="C594" t="str">
        <f>"Gisele Socorro Oeiras Ferreira"</f>
        <v>Gisele Socorro Oeiras Ferreira</v>
      </c>
      <c r="D594" t="str">
        <f>"PROFESSOR"</f>
        <v>PROFESSOR</v>
      </c>
      <c r="E594" t="str">
        <f>"Efetivo-Inativo I- RJUSM"</f>
        <v>Efetivo-Inativo I- RJUSM</v>
      </c>
      <c r="F594" t="str">
        <f>"R$ 1.593,46"</f>
        <v>R$ 1.593,46</v>
      </c>
      <c r="G594" t="str">
        <f>"R$ 3.585,28"</f>
        <v>R$ 3.585,28</v>
      </c>
      <c r="H594" t="str">
        <f t="shared" si="51"/>
        <v>R$ 0,00</v>
      </c>
      <c r="I594" t="str">
        <f>"R$ 3.585,28"</f>
        <v>R$ 3.585,28</v>
      </c>
      <c r="J594" t="str">
        <f>"R$ 1.975,63"</f>
        <v>R$ 1.975,63</v>
      </c>
      <c r="K594" t="str">
        <f>"R$ 1.609,65"</f>
        <v>R$ 1.609,65</v>
      </c>
    </row>
    <row r="595" spans="1:11" x14ac:dyDescent="0.25">
      <c r="A595" t="str">
        <f>"00027570 / 1"</f>
        <v>00027570 / 1</v>
      </c>
      <c r="B595" t="str">
        <f>"Folha Mensal"</f>
        <v>Folha Mensal</v>
      </c>
      <c r="C595" t="str">
        <f>"Gisele Socorro Oeiras Ferreira"</f>
        <v>Gisele Socorro Oeiras Ferreira</v>
      </c>
      <c r="D595" t="str">
        <f>"PROFESSOR"</f>
        <v>PROFESSOR</v>
      </c>
      <c r="E595" t="str">
        <f>"Efetivo-Inativo I- RJUSM"</f>
        <v>Efetivo-Inativo I- RJUSM</v>
      </c>
      <c r="F595" t="str">
        <f>"R$ 1.593,46"</f>
        <v>R$ 1.593,46</v>
      </c>
      <c r="G595" t="str">
        <f>"R$ 3.585,28"</f>
        <v>R$ 3.585,28</v>
      </c>
      <c r="H595" t="str">
        <f t="shared" si="51"/>
        <v>R$ 0,00</v>
      </c>
      <c r="I595" t="str">
        <f>"R$ 3.585,28"</f>
        <v>R$ 3.585,28</v>
      </c>
      <c r="J595" t="str">
        <f>"R$ 1.187,67"</f>
        <v>R$ 1.187,67</v>
      </c>
      <c r="K595" t="str">
        <f>"R$ 2.397,61"</f>
        <v>R$ 2.397,61</v>
      </c>
    </row>
    <row r="596" spans="1:11" x14ac:dyDescent="0.25">
      <c r="A596" t="str">
        <f>"00053198 / 1"</f>
        <v>00053198 / 1</v>
      </c>
      <c r="B596" t="str">
        <f>"13° Salário Anual"</f>
        <v>13° Salário Anual</v>
      </c>
      <c r="C596" t="str">
        <f>"Gislane Fernandes Costa de Almeida"</f>
        <v>Gislane Fernandes Costa de Almeida</v>
      </c>
      <c r="D596" t="str">
        <f>"PROFESSOR"</f>
        <v>PROFESSOR</v>
      </c>
      <c r="E596" t="str">
        <f>"Efetivo-Inativo I- RJUSM"</f>
        <v>Efetivo-Inativo I- RJUSM</v>
      </c>
      <c r="F596" t="str">
        <f>"R$ 1.593,46"</f>
        <v>R$ 1.593,46</v>
      </c>
      <c r="G596" t="str">
        <f>"R$ 1.673,13"</f>
        <v>R$ 1.673,13</v>
      </c>
      <c r="H596" t="str">
        <f t="shared" si="51"/>
        <v>R$ 0,00</v>
      </c>
      <c r="I596" t="str">
        <f>"R$ 1.673,13"</f>
        <v>R$ 1.673,13</v>
      </c>
      <c r="J596" t="str">
        <f>"R$ 836,56"</f>
        <v>R$ 836,56</v>
      </c>
      <c r="K596" t="str">
        <f>"R$ 836,57"</f>
        <v>R$ 836,57</v>
      </c>
    </row>
    <row r="597" spans="1:11" x14ac:dyDescent="0.25">
      <c r="A597" t="str">
        <f>"00053198 / 1"</f>
        <v>00053198 / 1</v>
      </c>
      <c r="B597" t="str">
        <f>"Folha Mensal"</f>
        <v>Folha Mensal</v>
      </c>
      <c r="C597" t="str">
        <f>"Gislane Fernandes Costa de Almeida"</f>
        <v>Gislane Fernandes Costa de Almeida</v>
      </c>
      <c r="D597" t="str">
        <f>"PROFESSOR"</f>
        <v>PROFESSOR</v>
      </c>
      <c r="E597" t="str">
        <f>"Efetivo-Inativo I- RJUSM"</f>
        <v>Efetivo-Inativo I- RJUSM</v>
      </c>
      <c r="F597" t="str">
        <f>"R$ 1.593,46"</f>
        <v>R$ 1.593,46</v>
      </c>
      <c r="G597" t="str">
        <f>"R$ 1.673,13"</f>
        <v>R$ 1.673,13</v>
      </c>
      <c r="H597" t="str">
        <f t="shared" si="51"/>
        <v>R$ 0,00</v>
      </c>
      <c r="I597" t="str">
        <f>"R$ 1.673,13"</f>
        <v>R$ 1.673,13</v>
      </c>
      <c r="J597" t="str">
        <f>"R$ 423,61"</f>
        <v>R$ 423,61</v>
      </c>
      <c r="K597" t="str">
        <f>"R$ 1.249,52"</f>
        <v>R$ 1.249,52</v>
      </c>
    </row>
    <row r="598" spans="1:11" x14ac:dyDescent="0.25">
      <c r="A598" t="str">
        <f>"03641060 / 1"</f>
        <v>03641060 / 1</v>
      </c>
      <c r="B598" t="str">
        <f>"13° Salário Anual"</f>
        <v>13° Salário Anual</v>
      </c>
      <c r="C598" t="str">
        <f>"Glauceni Barbosa de Lima"</f>
        <v>Glauceni Barbosa de Lima</v>
      </c>
      <c r="D598" t="str">
        <f>"DAS 01"</f>
        <v>DAS 01</v>
      </c>
      <c r="E598" t="str">
        <f t="shared" ref="E598:E603" si="52">"Comissionado"</f>
        <v>Comissionado</v>
      </c>
      <c r="F598" t="str">
        <f>"R$ 1.100,00"</f>
        <v>R$ 1.100,00</v>
      </c>
      <c r="G598" t="str">
        <f>"R$ 916,66"</f>
        <v>R$ 916,66</v>
      </c>
      <c r="H598" t="str">
        <f t="shared" si="51"/>
        <v>R$ 0,00</v>
      </c>
      <c r="I598" t="str">
        <f>"R$ 916,66"</f>
        <v>R$ 916,66</v>
      </c>
      <c r="J598" t="str">
        <f>"R$ 527,07"</f>
        <v>R$ 527,07</v>
      </c>
      <c r="K598" t="str">
        <f>"R$ 389,59"</f>
        <v>R$ 389,59</v>
      </c>
    </row>
    <row r="599" spans="1:11" x14ac:dyDescent="0.25">
      <c r="A599" t="str">
        <f>"03641060 / 1"</f>
        <v>03641060 / 1</v>
      </c>
      <c r="B599" t="str">
        <f>"Folha Mensal"</f>
        <v>Folha Mensal</v>
      </c>
      <c r="C599" t="str">
        <f>"Glauceni Barbosa de Lima"</f>
        <v>Glauceni Barbosa de Lima</v>
      </c>
      <c r="D599" t="str">
        <f>"DAS 01"</f>
        <v>DAS 01</v>
      </c>
      <c r="E599" t="str">
        <f t="shared" si="52"/>
        <v>Comissionado</v>
      </c>
      <c r="F599" t="str">
        <f>"R$ 1.100,00"</f>
        <v>R$ 1.100,00</v>
      </c>
      <c r="G599" t="str">
        <f>"R$ 1.100,00"</f>
        <v>R$ 1.100,00</v>
      </c>
      <c r="H599" t="str">
        <f>"R$ 288,00"</f>
        <v>R$ 288,00</v>
      </c>
      <c r="I599" t="str">
        <f>"R$ 1.388,00"</f>
        <v>R$ 1.388,00</v>
      </c>
      <c r="J599" t="str">
        <f>"R$ 148,50"</f>
        <v>R$ 148,50</v>
      </c>
      <c r="K599" t="str">
        <f>"R$ 1.239,50"</f>
        <v>R$ 1.239,50</v>
      </c>
    </row>
    <row r="600" spans="1:11" x14ac:dyDescent="0.25">
      <c r="A600" t="str">
        <f>"00015130 / 1"</f>
        <v>00015130 / 1</v>
      </c>
      <c r="B600" t="str">
        <f>"13° Salário Anual"</f>
        <v>13° Salário Anual</v>
      </c>
      <c r="C600" t="str">
        <f>"Glaucia da Silva Machado"</f>
        <v>Glaucia da Silva Machado</v>
      </c>
      <c r="D600" t="str">
        <f>"DAS 01"</f>
        <v>DAS 01</v>
      </c>
      <c r="E600" t="str">
        <f t="shared" si="52"/>
        <v>Comissionado</v>
      </c>
      <c r="F600" t="str">
        <f>"R$ 1.100,00"</f>
        <v>R$ 1.100,00</v>
      </c>
      <c r="G600" t="str">
        <f>"R$ 1.100,00"</f>
        <v>R$ 1.100,00</v>
      </c>
      <c r="H600" t="str">
        <f>"R$ 0,00"</f>
        <v>R$ 0,00</v>
      </c>
      <c r="I600" t="str">
        <f>"R$ 1.100,00"</f>
        <v>R$ 1.100,00</v>
      </c>
      <c r="J600" t="str">
        <f>"R$ 632,50"</f>
        <v>R$ 632,50</v>
      </c>
      <c r="K600" t="str">
        <f>"R$ 467,50"</f>
        <v>R$ 467,50</v>
      </c>
    </row>
    <row r="601" spans="1:11" x14ac:dyDescent="0.25">
      <c r="A601" t="str">
        <f>"00015130 / 1"</f>
        <v>00015130 / 1</v>
      </c>
      <c r="B601" t="str">
        <f>"Folha Mensal"</f>
        <v>Folha Mensal</v>
      </c>
      <c r="C601" t="str">
        <f>"Glaucia da Silva Machado"</f>
        <v>Glaucia da Silva Machado</v>
      </c>
      <c r="D601" t="str">
        <f>"DAS 01"</f>
        <v>DAS 01</v>
      </c>
      <c r="E601" t="str">
        <f t="shared" si="52"/>
        <v>Comissionado</v>
      </c>
      <c r="F601" t="str">
        <f>"R$ 1.100,00"</f>
        <v>R$ 1.100,00</v>
      </c>
      <c r="G601" t="str">
        <f>"R$ 1.100,00"</f>
        <v>R$ 1.100,00</v>
      </c>
      <c r="H601" t="str">
        <f>"R$ 339,27"</f>
        <v>R$ 339,27</v>
      </c>
      <c r="I601" t="str">
        <f>"R$ 1.439,27"</f>
        <v>R$ 1.439,27</v>
      </c>
      <c r="J601" t="str">
        <f>"R$ 148,50"</f>
        <v>R$ 148,50</v>
      </c>
      <c r="K601" t="str">
        <f>"R$ 1.290,77"</f>
        <v>R$ 1.290,77</v>
      </c>
    </row>
    <row r="602" spans="1:11" x14ac:dyDescent="0.25">
      <c r="A602" t="str">
        <f>"03640590 / 1"</f>
        <v>03640590 / 1</v>
      </c>
      <c r="B602" t="str">
        <f>"13° Salário Anual"</f>
        <v>13° Salário Anual</v>
      </c>
      <c r="C602" t="str">
        <f>"Glauco Santos Silva"</f>
        <v>Glauco Santos Silva</v>
      </c>
      <c r="D602" t="str">
        <f>"DAS 03 B"</f>
        <v>DAS 03 B</v>
      </c>
      <c r="E602" t="str">
        <f t="shared" si="52"/>
        <v>Comissionado</v>
      </c>
      <c r="F602" t="str">
        <f>"R$ 1.404,28"</f>
        <v>R$ 1.404,28</v>
      </c>
      <c r="G602" t="str">
        <f>"R$ 1.287,25"</f>
        <v>R$ 1.287,25</v>
      </c>
      <c r="H602" t="str">
        <f t="shared" ref="H602:H665" si="53">"R$ 0,00"</f>
        <v>R$ 0,00</v>
      </c>
      <c r="I602" t="str">
        <f>"R$ 1.287,25"</f>
        <v>R$ 1.287,25</v>
      </c>
      <c r="J602" t="str">
        <f>"R$ 742,97"</f>
        <v>R$ 742,97</v>
      </c>
      <c r="K602" t="str">
        <f>"R$ 544,28"</f>
        <v>R$ 544,28</v>
      </c>
    </row>
    <row r="603" spans="1:11" x14ac:dyDescent="0.25">
      <c r="A603" t="str">
        <f>"03640590 / 1"</f>
        <v>03640590 / 1</v>
      </c>
      <c r="B603" t="str">
        <f>"Folha Mensal"</f>
        <v>Folha Mensal</v>
      </c>
      <c r="C603" t="str">
        <f>"Glauco Santos Silva"</f>
        <v>Glauco Santos Silva</v>
      </c>
      <c r="D603" t="str">
        <f>"DAS 03 B"</f>
        <v>DAS 03 B</v>
      </c>
      <c r="E603" t="str">
        <f t="shared" si="52"/>
        <v>Comissionado</v>
      </c>
      <c r="F603" t="str">
        <f>"R$ 1.404,28"</f>
        <v>R$ 1.404,28</v>
      </c>
      <c r="G603" t="str">
        <f>"R$ 1.404,28"</f>
        <v>R$ 1.404,28</v>
      </c>
      <c r="H603" t="str">
        <f t="shared" si="53"/>
        <v>R$ 0,00</v>
      </c>
      <c r="I603" t="str">
        <f>"R$ 1.404,28"</f>
        <v>R$ 1.404,28</v>
      </c>
      <c r="J603" t="str">
        <f>"R$ 109,88"</f>
        <v>R$ 109,88</v>
      </c>
      <c r="K603" t="str">
        <f>"R$ 1.294,40"</f>
        <v>R$ 1.294,40</v>
      </c>
    </row>
    <row r="604" spans="1:11" x14ac:dyDescent="0.25">
      <c r="A604" t="str">
        <f>"00000248 / 1"</f>
        <v>00000248 / 1</v>
      </c>
      <c r="B604" t="str">
        <f>"13° Salário Anual"</f>
        <v>13° Salário Anual</v>
      </c>
      <c r="C604" t="str">
        <f>"Grace Rodrigues da Cunha"</f>
        <v>Grace Rodrigues da Cunha</v>
      </c>
      <c r="D604" t="str">
        <f>"PROFESSOR"</f>
        <v>PROFESSOR</v>
      </c>
      <c r="E604" t="str">
        <f>"Efetivo-Inativo I- RJUSM"</f>
        <v>Efetivo-Inativo I- RJUSM</v>
      </c>
      <c r="F604" t="str">
        <f>"R$ 1.593,46"</f>
        <v>R$ 1.593,46</v>
      </c>
      <c r="G604" t="str">
        <f>"R$ 1.991,82"</f>
        <v>R$ 1.991,82</v>
      </c>
      <c r="H604" t="str">
        <f t="shared" si="53"/>
        <v>R$ 0,00</v>
      </c>
      <c r="I604" t="str">
        <f>"R$ 1.991,82"</f>
        <v>R$ 1.991,82</v>
      </c>
      <c r="J604" t="str">
        <f>"R$ 995,91"</f>
        <v>R$ 995,91</v>
      </c>
      <c r="K604" t="str">
        <f>"R$ 995,91"</f>
        <v>R$ 995,91</v>
      </c>
    </row>
    <row r="605" spans="1:11" x14ac:dyDescent="0.25">
      <c r="A605" t="str">
        <f>"00000248 / 1"</f>
        <v>00000248 / 1</v>
      </c>
      <c r="B605" t="str">
        <f>"Folha Mensal"</f>
        <v>Folha Mensal</v>
      </c>
      <c r="C605" t="str">
        <f>"Grace Rodrigues da Cunha"</f>
        <v>Grace Rodrigues da Cunha</v>
      </c>
      <c r="D605" t="str">
        <f>"PROFESSOR"</f>
        <v>PROFESSOR</v>
      </c>
      <c r="E605" t="str">
        <f>"Efetivo-Inativo I- RJUSM"</f>
        <v>Efetivo-Inativo I- RJUSM</v>
      </c>
      <c r="F605" t="str">
        <f>"R$ 1.593,46"</f>
        <v>R$ 1.593,46</v>
      </c>
      <c r="G605" t="str">
        <f>"R$ 1.991,82"</f>
        <v>R$ 1.991,82</v>
      </c>
      <c r="H605" t="str">
        <f t="shared" si="53"/>
        <v>R$ 0,00</v>
      </c>
      <c r="I605" t="str">
        <f>"R$ 1.991,82"</f>
        <v>R$ 1.991,82</v>
      </c>
      <c r="J605" t="str">
        <f>"R$ 591,89"</f>
        <v>R$ 591,89</v>
      </c>
      <c r="K605" t="str">
        <f>"R$ 1.399,93"</f>
        <v>R$ 1.399,93</v>
      </c>
    </row>
    <row r="606" spans="1:11" x14ac:dyDescent="0.25">
      <c r="A606" t="str">
        <f>"00000825 / 1"</f>
        <v>00000825 / 1</v>
      </c>
      <c r="B606" t="str">
        <f>"13° Salário Anual"</f>
        <v>13° Salário Anual</v>
      </c>
      <c r="C606" t="str">
        <f>"Graciete dos Navegantes Cardoso"</f>
        <v>Graciete dos Navegantes Cardoso</v>
      </c>
      <c r="D606" t="str">
        <f>"PROFESSOR"</f>
        <v>PROFESSOR</v>
      </c>
      <c r="E606" t="str">
        <f>"Efetivo-Inativo I- RJUSM"</f>
        <v>Efetivo-Inativo I- RJUSM</v>
      </c>
      <c r="F606" t="str">
        <f>"R$ 1.593,46"</f>
        <v>R$ 1.593,46</v>
      </c>
      <c r="G606" t="str">
        <f>"R$ 1.991,82"</f>
        <v>R$ 1.991,82</v>
      </c>
      <c r="H606" t="str">
        <f t="shared" si="53"/>
        <v>R$ 0,00</v>
      </c>
      <c r="I606" t="str">
        <f>"R$ 1.991,82"</f>
        <v>R$ 1.991,82</v>
      </c>
      <c r="J606" t="str">
        <f>"R$ 995,91"</f>
        <v>R$ 995,91</v>
      </c>
      <c r="K606" t="str">
        <f>"R$ 995,91"</f>
        <v>R$ 995,91</v>
      </c>
    </row>
    <row r="607" spans="1:11" x14ac:dyDescent="0.25">
      <c r="A607" t="str">
        <f>"00000825 / 1"</f>
        <v>00000825 / 1</v>
      </c>
      <c r="B607" t="str">
        <f>"Folha Mensal"</f>
        <v>Folha Mensal</v>
      </c>
      <c r="C607" t="str">
        <f>"Graciete dos Navegantes Cardoso"</f>
        <v>Graciete dos Navegantes Cardoso</v>
      </c>
      <c r="D607" t="str">
        <f>"PROFESSOR"</f>
        <v>PROFESSOR</v>
      </c>
      <c r="E607" t="str">
        <f>"Efetivo-Inativo I- RJUSM"</f>
        <v>Efetivo-Inativo I- RJUSM</v>
      </c>
      <c r="F607" t="str">
        <f>"R$ 1.593,46"</f>
        <v>R$ 1.593,46</v>
      </c>
      <c r="G607" t="str">
        <f>"R$ 1.991,82"</f>
        <v>R$ 1.991,82</v>
      </c>
      <c r="H607" t="str">
        <f t="shared" si="53"/>
        <v>R$ 0,00</v>
      </c>
      <c r="I607" t="str">
        <f>"R$ 1.991,82"</f>
        <v>R$ 1.991,82</v>
      </c>
      <c r="J607" t="str">
        <f>"R$ 673,16"</f>
        <v>R$ 673,16</v>
      </c>
      <c r="K607" t="str">
        <f>"R$ 1.318,66"</f>
        <v>R$ 1.318,66</v>
      </c>
    </row>
    <row r="608" spans="1:11" x14ac:dyDescent="0.25">
      <c r="A608" t="str">
        <f>"00032042 / 1"</f>
        <v>00032042 / 1</v>
      </c>
      <c r="B608" t="str">
        <f>"13° Salário Anual"</f>
        <v>13° Salário Anual</v>
      </c>
      <c r="C608" t="str">
        <f>"Graciete Maria Assuncao Correa"</f>
        <v>Graciete Maria Assuncao Correa</v>
      </c>
      <c r="D608" t="str">
        <f>"PROFESSOR NIVEL I"</f>
        <v>PROFESSOR NIVEL I</v>
      </c>
      <c r="E608" t="str">
        <f>"Efetivo-Inativos II-RJUSM"</f>
        <v>Efetivo-Inativos II-RJUSM</v>
      </c>
      <c r="F608" t="str">
        <f>"R$ 4.461,70"</f>
        <v>R$ 4.461,70</v>
      </c>
      <c r="G608" t="str">
        <f>"R$ 5.577,12"</f>
        <v>R$ 5.577,12</v>
      </c>
      <c r="H608" t="str">
        <f t="shared" si="53"/>
        <v>R$ 0,00</v>
      </c>
      <c r="I608" t="str">
        <f>"R$ 5.577,12"</f>
        <v>R$ 5.577,12</v>
      </c>
      <c r="J608" t="str">
        <f>"R$ 2.984,73"</f>
        <v>R$ 2.984,73</v>
      </c>
      <c r="K608" t="str">
        <f>"R$ 2.592,39"</f>
        <v>R$ 2.592,39</v>
      </c>
    </row>
    <row r="609" spans="1:11" x14ac:dyDescent="0.25">
      <c r="A609" t="str">
        <f>"00032042 / 1"</f>
        <v>00032042 / 1</v>
      </c>
      <c r="B609" t="str">
        <f>"Folha Mensal"</f>
        <v>Folha Mensal</v>
      </c>
      <c r="C609" t="str">
        <f>"Graciete Maria Assuncao Correa"</f>
        <v>Graciete Maria Assuncao Correa</v>
      </c>
      <c r="D609" t="str">
        <f>"PROFESSOR NIVEL I"</f>
        <v>PROFESSOR NIVEL I</v>
      </c>
      <c r="E609" t="str">
        <f>"Efetivo-Inativos II-RJUSM"</f>
        <v>Efetivo-Inativos II-RJUSM</v>
      </c>
      <c r="F609" t="str">
        <f>"R$ 4.461,70"</f>
        <v>R$ 4.461,70</v>
      </c>
      <c r="G609" t="str">
        <f>"R$ 5.577,12"</f>
        <v>R$ 5.577,12</v>
      </c>
      <c r="H609" t="str">
        <f t="shared" si="53"/>
        <v>R$ 0,00</v>
      </c>
      <c r="I609" t="str">
        <f>"R$ 5.577,12"</f>
        <v>R$ 5.577,12</v>
      </c>
      <c r="J609" t="str">
        <f>"R$ 1.931,39"</f>
        <v>R$ 1.931,39</v>
      </c>
      <c r="K609" t="str">
        <f>"R$ 3.645,73"</f>
        <v>R$ 3.645,73</v>
      </c>
    </row>
    <row r="610" spans="1:11" x14ac:dyDescent="0.25">
      <c r="A610" t="str">
        <f>"00007382 / 1"</f>
        <v>00007382 / 1</v>
      </c>
      <c r="B610" t="str">
        <f>"13° Salário Anual"</f>
        <v>13° Salário Anual</v>
      </c>
      <c r="C610" t="str">
        <f>"Gracinda da Silva Cunha"</f>
        <v>Gracinda da Silva Cunha</v>
      </c>
      <c r="D610" t="str">
        <f>"PROFESSOR"</f>
        <v>PROFESSOR</v>
      </c>
      <c r="E610" t="str">
        <f>"Efetivo-Inativo I- RJUSM"</f>
        <v>Efetivo-Inativo I- RJUSM</v>
      </c>
      <c r="F610" t="str">
        <f>"R$ 1.593,46"</f>
        <v>R$ 1.593,46</v>
      </c>
      <c r="G610" t="str">
        <f>"R$ 1.991,82"</f>
        <v>R$ 1.991,82</v>
      </c>
      <c r="H610" t="str">
        <f t="shared" si="53"/>
        <v>R$ 0,00</v>
      </c>
      <c r="I610" t="str">
        <f>"R$ 1.991,82"</f>
        <v>R$ 1.991,82</v>
      </c>
      <c r="J610" t="str">
        <f>"R$ 995,91"</f>
        <v>R$ 995,91</v>
      </c>
      <c r="K610" t="str">
        <f>"R$ 995,91"</f>
        <v>R$ 995,91</v>
      </c>
    </row>
    <row r="611" spans="1:11" x14ac:dyDescent="0.25">
      <c r="A611" t="str">
        <f>"00007382 / 1"</f>
        <v>00007382 / 1</v>
      </c>
      <c r="B611" t="str">
        <f>"Folha Mensal"</f>
        <v>Folha Mensal</v>
      </c>
      <c r="C611" t="str">
        <f>"Gracinda da Silva Cunha"</f>
        <v>Gracinda da Silva Cunha</v>
      </c>
      <c r="D611" t="str">
        <f>"PROFESSOR"</f>
        <v>PROFESSOR</v>
      </c>
      <c r="E611" t="str">
        <f>"Efetivo-Inativo I- RJUSM"</f>
        <v>Efetivo-Inativo I- RJUSM</v>
      </c>
      <c r="F611" t="str">
        <f>"R$ 1.593,46"</f>
        <v>R$ 1.593,46</v>
      </c>
      <c r="G611" t="str">
        <f>"R$ 1.991,82"</f>
        <v>R$ 1.991,82</v>
      </c>
      <c r="H611" t="str">
        <f t="shared" si="53"/>
        <v>R$ 0,00</v>
      </c>
      <c r="I611" t="str">
        <f>"R$ 1.991,82"</f>
        <v>R$ 1.991,82</v>
      </c>
      <c r="J611" t="str">
        <f>"R$ 360,49"</f>
        <v>R$ 360,49</v>
      </c>
      <c r="K611" t="str">
        <f>"R$ 1.631,33"</f>
        <v>R$ 1.631,33</v>
      </c>
    </row>
    <row r="612" spans="1:11" x14ac:dyDescent="0.25">
      <c r="A612" t="str">
        <f>"00264806 / 1"</f>
        <v>00264806 / 1</v>
      </c>
      <c r="B612" t="str">
        <f>"13° Salário Anual"</f>
        <v>13° Salário Anual</v>
      </c>
      <c r="C612" t="str">
        <f>"Gregoria dos Santos Portal Menezes"</f>
        <v>Gregoria dos Santos Portal Menezes</v>
      </c>
      <c r="D612" t="str">
        <f>"INT INVALIDEZ"</f>
        <v>INT INVALIDEZ</v>
      </c>
      <c r="E612" t="str">
        <f t="shared" ref="E612:E621" si="54">"Efetivo-Inativos II-RJUSM"</f>
        <v>Efetivo-Inativos II-RJUSM</v>
      </c>
      <c r="F612" t="str">
        <f t="shared" ref="F612:F619" si="55">"R$ 1.100,00"</f>
        <v>R$ 1.100,00</v>
      </c>
      <c r="G612" t="str">
        <f>"R$ 1.265,00"</f>
        <v>R$ 1.265,00</v>
      </c>
      <c r="H612" t="str">
        <f t="shared" si="53"/>
        <v>R$ 0,00</v>
      </c>
      <c r="I612" t="str">
        <f>"R$ 1.265,00"</f>
        <v>R$ 1.265,00</v>
      </c>
      <c r="J612" t="str">
        <f>"R$ 632,50"</f>
        <v>R$ 632,50</v>
      </c>
      <c r="K612" t="str">
        <f>"R$ 632,50"</f>
        <v>R$ 632,50</v>
      </c>
    </row>
    <row r="613" spans="1:11" x14ac:dyDescent="0.25">
      <c r="A613" t="str">
        <f>"00264806 / 1"</f>
        <v>00264806 / 1</v>
      </c>
      <c r="B613" t="str">
        <f>"Folha Mensal"</f>
        <v>Folha Mensal</v>
      </c>
      <c r="C613" t="str">
        <f>"Gregoria dos Santos Portal Menezes"</f>
        <v>Gregoria dos Santos Portal Menezes</v>
      </c>
      <c r="D613" t="str">
        <f>"INT INVALIDEZ"</f>
        <v>INT INVALIDEZ</v>
      </c>
      <c r="E613" t="str">
        <f t="shared" si="54"/>
        <v>Efetivo-Inativos II-RJUSM</v>
      </c>
      <c r="F613" t="str">
        <f t="shared" si="55"/>
        <v>R$ 1.100,00</v>
      </c>
      <c r="G613" t="str">
        <f>"R$ 1.265,00"</f>
        <v>R$ 1.265,00</v>
      </c>
      <c r="H613" t="str">
        <f t="shared" si="53"/>
        <v>R$ 0,00</v>
      </c>
      <c r="I613" t="str">
        <f>"R$ 1.265,00"</f>
        <v>R$ 1.265,00</v>
      </c>
      <c r="J613" t="str">
        <f>"R$ 328,23"</f>
        <v>R$ 328,23</v>
      </c>
      <c r="K613" t="str">
        <f>"R$ 936,77"</f>
        <v>R$ 936,77</v>
      </c>
    </row>
    <row r="614" spans="1:11" x14ac:dyDescent="0.25">
      <c r="A614" t="str">
        <f>"00024856 / 1"</f>
        <v>00024856 / 1</v>
      </c>
      <c r="B614" t="str">
        <f>"13° Salário Anual"</f>
        <v>13° Salário Anual</v>
      </c>
      <c r="C614" t="str">
        <f>"Guiomar da Silva Chavante"</f>
        <v>Guiomar da Silva Chavante</v>
      </c>
      <c r="D614" t="str">
        <f>"INT TEMP CONTRIBUICAO"</f>
        <v>INT TEMP CONTRIBUICAO</v>
      </c>
      <c r="E614" t="str">
        <f t="shared" si="54"/>
        <v>Efetivo-Inativos II-RJUSM</v>
      </c>
      <c r="F614" t="str">
        <f t="shared" si="55"/>
        <v>R$ 1.100,00</v>
      </c>
      <c r="G614" t="str">
        <f>"R$ 1.430,00"</f>
        <v>R$ 1.430,00</v>
      </c>
      <c r="H614" t="str">
        <f t="shared" si="53"/>
        <v>R$ 0,00</v>
      </c>
      <c r="I614" t="str">
        <f>"R$ 1.430,00"</f>
        <v>R$ 1.430,00</v>
      </c>
      <c r="J614" t="str">
        <f>"R$ 715,00"</f>
        <v>R$ 715,00</v>
      </c>
      <c r="K614" t="str">
        <f>"R$ 715,00"</f>
        <v>R$ 715,00</v>
      </c>
    </row>
    <row r="615" spans="1:11" x14ac:dyDescent="0.25">
      <c r="A615" t="str">
        <f>"00024856 / 1"</f>
        <v>00024856 / 1</v>
      </c>
      <c r="B615" t="str">
        <f>"Folha Mensal"</f>
        <v>Folha Mensal</v>
      </c>
      <c r="C615" t="str">
        <f>"Guiomar da Silva Chavante"</f>
        <v>Guiomar da Silva Chavante</v>
      </c>
      <c r="D615" t="str">
        <f>"INT TEMP CONTRIBUICAO"</f>
        <v>INT TEMP CONTRIBUICAO</v>
      </c>
      <c r="E615" t="str">
        <f t="shared" si="54"/>
        <v>Efetivo-Inativos II-RJUSM</v>
      </c>
      <c r="F615" t="str">
        <f t="shared" si="55"/>
        <v>R$ 1.100,00</v>
      </c>
      <c r="G615" t="str">
        <f>"R$ 1.430,00"</f>
        <v>R$ 1.430,00</v>
      </c>
      <c r="H615" t="str">
        <f t="shared" si="53"/>
        <v>R$ 0,00</v>
      </c>
      <c r="I615" t="str">
        <f>"R$ 1.430,00"</f>
        <v>R$ 1.430,00</v>
      </c>
      <c r="J615" t="str">
        <f>"R$ 362,63"</f>
        <v>R$ 362,63</v>
      </c>
      <c r="K615" t="str">
        <f>"R$ 1.067,37"</f>
        <v>R$ 1.067,37</v>
      </c>
    </row>
    <row r="616" spans="1:11" x14ac:dyDescent="0.25">
      <c r="A616" t="str">
        <f>"00006696 / 1"</f>
        <v>00006696 / 1</v>
      </c>
      <c r="B616" t="str">
        <f>"13° Salário Anual"</f>
        <v>13° Salário Anual</v>
      </c>
      <c r="C616" t="str">
        <f>"Guiomar Maria de Souza Santos"</f>
        <v>Guiomar Maria de Souza Santos</v>
      </c>
      <c r="D616" t="str">
        <f>"INT TEMP CONTRIBUICAO"</f>
        <v>INT TEMP CONTRIBUICAO</v>
      </c>
      <c r="E616" t="str">
        <f t="shared" si="54"/>
        <v>Efetivo-Inativos II-RJUSM</v>
      </c>
      <c r="F616" t="str">
        <f t="shared" si="55"/>
        <v>R$ 1.100,00</v>
      </c>
      <c r="G616" t="str">
        <f>"R$ 1.430,00"</f>
        <v>R$ 1.430,00</v>
      </c>
      <c r="H616" t="str">
        <f t="shared" si="53"/>
        <v>R$ 0,00</v>
      </c>
      <c r="I616" t="str">
        <f>"R$ 1.430,00"</f>
        <v>R$ 1.430,00</v>
      </c>
      <c r="J616" t="str">
        <f>"R$ 715,00"</f>
        <v>R$ 715,00</v>
      </c>
      <c r="K616" t="str">
        <f>"R$ 715,00"</f>
        <v>R$ 715,00</v>
      </c>
    </row>
    <row r="617" spans="1:11" x14ac:dyDescent="0.25">
      <c r="A617" t="str">
        <f>"00006696 / 1"</f>
        <v>00006696 / 1</v>
      </c>
      <c r="B617" t="str">
        <f>"Folha Mensal"</f>
        <v>Folha Mensal</v>
      </c>
      <c r="C617" t="str">
        <f>"Guiomar Maria de Souza Santos"</f>
        <v>Guiomar Maria de Souza Santos</v>
      </c>
      <c r="D617" t="str">
        <f>"INT TEMP CONTRIBUICAO"</f>
        <v>INT TEMP CONTRIBUICAO</v>
      </c>
      <c r="E617" t="str">
        <f t="shared" si="54"/>
        <v>Efetivo-Inativos II-RJUSM</v>
      </c>
      <c r="F617" t="str">
        <f t="shared" si="55"/>
        <v>R$ 1.100,00</v>
      </c>
      <c r="G617" t="str">
        <f>"R$ 1.430,00"</f>
        <v>R$ 1.430,00</v>
      </c>
      <c r="H617" t="str">
        <f t="shared" si="53"/>
        <v>R$ 0,00</v>
      </c>
      <c r="I617" t="str">
        <f>"R$ 1.430,00"</f>
        <v>R$ 1.430,00</v>
      </c>
      <c r="J617" t="str">
        <f>"R$ 458,42"</f>
        <v>R$ 458,42</v>
      </c>
      <c r="K617" t="str">
        <f>"R$ 971,58"</f>
        <v>R$ 971,58</v>
      </c>
    </row>
    <row r="618" spans="1:11" x14ac:dyDescent="0.25">
      <c r="A618" t="str">
        <f>"00168106 / 1"</f>
        <v>00168106 / 1</v>
      </c>
      <c r="B618" t="str">
        <f>"13° Salário Anual"</f>
        <v>13° Salário Anual</v>
      </c>
      <c r="C618" t="str">
        <f>"Haroldo da Mota Lobo"</f>
        <v>Haroldo da Mota Lobo</v>
      </c>
      <c r="D618" t="str">
        <f>"PEDAGOGO NIVEL II"</f>
        <v>PEDAGOGO NIVEL II</v>
      </c>
      <c r="E618" t="str">
        <f t="shared" si="54"/>
        <v>Efetivo-Inativos II-RJUSM</v>
      </c>
      <c r="F618" t="str">
        <f t="shared" si="55"/>
        <v>R$ 1.100,00</v>
      </c>
      <c r="G618" t="str">
        <f>"R$ 1.100,00"</f>
        <v>R$ 1.100,00</v>
      </c>
      <c r="H618" t="str">
        <f t="shared" si="53"/>
        <v>R$ 0,00</v>
      </c>
      <c r="I618" t="str">
        <f>"R$ 1.100,00"</f>
        <v>R$ 1.100,00</v>
      </c>
      <c r="J618" t="str">
        <f>"R$ 550,00"</f>
        <v>R$ 550,00</v>
      </c>
      <c r="K618" t="str">
        <f>"R$ 550,00"</f>
        <v>R$ 550,00</v>
      </c>
    </row>
    <row r="619" spans="1:11" x14ac:dyDescent="0.25">
      <c r="A619" t="str">
        <f>"00168106 / 1"</f>
        <v>00168106 / 1</v>
      </c>
      <c r="B619" t="str">
        <f>"Folha Mensal"</f>
        <v>Folha Mensal</v>
      </c>
      <c r="C619" t="str">
        <f>"Haroldo da Mota Lobo"</f>
        <v>Haroldo da Mota Lobo</v>
      </c>
      <c r="D619" t="str">
        <f>"PEDAGOGO NIVEL II"</f>
        <v>PEDAGOGO NIVEL II</v>
      </c>
      <c r="E619" t="str">
        <f t="shared" si="54"/>
        <v>Efetivo-Inativos II-RJUSM</v>
      </c>
      <c r="F619" t="str">
        <f t="shared" si="55"/>
        <v>R$ 1.100,00</v>
      </c>
      <c r="G619" t="str">
        <f>"R$ 1.100,00"</f>
        <v>R$ 1.100,00</v>
      </c>
      <c r="H619" t="str">
        <f t="shared" si="53"/>
        <v>R$ 0,00</v>
      </c>
      <c r="I619" t="str">
        <f>"R$ 1.100,00"</f>
        <v>R$ 1.100,00</v>
      </c>
      <c r="J619" t="str">
        <f>"R$ 0,00"</f>
        <v>R$ 0,00</v>
      </c>
      <c r="K619" t="str">
        <f>"R$ 1.100,00"</f>
        <v>R$ 1.100,00</v>
      </c>
    </row>
    <row r="620" spans="1:11" x14ac:dyDescent="0.25">
      <c r="A620" t="str">
        <f>"00008826 / 1"</f>
        <v>00008826 / 1</v>
      </c>
      <c r="B620" t="str">
        <f>"13° Salário Anual"</f>
        <v>13° Salário Anual</v>
      </c>
      <c r="C620" t="str">
        <f>"Helen Regina Lima Silva"</f>
        <v>Helen Regina Lima Silva</v>
      </c>
      <c r="D620" t="str">
        <f>"PROFESSOR NIVEL III"</f>
        <v>PROFESSOR NIVEL III</v>
      </c>
      <c r="E620" t="str">
        <f t="shared" si="54"/>
        <v>Efetivo-Inativos II-RJUSM</v>
      </c>
      <c r="F620" t="str">
        <f>"R$ 6.055,17"</f>
        <v>R$ 6.055,17</v>
      </c>
      <c r="G620" t="str">
        <f>"R$ 7.871,72"</f>
        <v>R$ 7.871,72</v>
      </c>
      <c r="H620" t="str">
        <f t="shared" si="53"/>
        <v>R$ 0,00</v>
      </c>
      <c r="I620" t="str">
        <f>"R$ 7.871,72"</f>
        <v>R$ 7.871,72</v>
      </c>
      <c r="J620" t="str">
        <f>"R$ 5.358,80"</f>
        <v>R$ 5.358,80</v>
      </c>
      <c r="K620" t="str">
        <f>"R$ 2.512,92"</f>
        <v>R$ 2.512,92</v>
      </c>
    </row>
    <row r="621" spans="1:11" x14ac:dyDescent="0.25">
      <c r="A621" t="str">
        <f>"00008826 / 1"</f>
        <v>00008826 / 1</v>
      </c>
      <c r="B621" t="str">
        <f>"Folha Mensal"</f>
        <v>Folha Mensal</v>
      </c>
      <c r="C621" t="str">
        <f>"Helen Regina Lima Silva"</f>
        <v>Helen Regina Lima Silva</v>
      </c>
      <c r="D621" t="str">
        <f>"PROFESSOR NIVEL III"</f>
        <v>PROFESSOR NIVEL III</v>
      </c>
      <c r="E621" t="str">
        <f t="shared" si="54"/>
        <v>Efetivo-Inativos II-RJUSM</v>
      </c>
      <c r="F621" t="str">
        <f>"R$ 6.055,17"</f>
        <v>R$ 6.055,17</v>
      </c>
      <c r="G621" t="str">
        <f>"R$ 7.871,72"</f>
        <v>R$ 7.871,72</v>
      </c>
      <c r="H621" t="str">
        <f t="shared" si="53"/>
        <v>R$ 0,00</v>
      </c>
      <c r="I621" t="str">
        <f>"R$ 7.871,72"</f>
        <v>R$ 7.871,72</v>
      </c>
      <c r="J621" t="str">
        <f>"R$ 1.422,94"</f>
        <v>R$ 1.422,94</v>
      </c>
      <c r="K621" t="str">
        <f>"R$ 6.448,78"</f>
        <v>R$ 6.448,78</v>
      </c>
    </row>
    <row r="622" spans="1:11" x14ac:dyDescent="0.25">
      <c r="A622" t="str">
        <f>"00032115 / 1"</f>
        <v>00032115 / 1</v>
      </c>
      <c r="B622" t="str">
        <f>"13° Salário Anual"</f>
        <v>13° Salário Anual</v>
      </c>
      <c r="C622" t="str">
        <f>"Helena Evelin Pereira"</f>
        <v>Helena Evelin Pereira</v>
      </c>
      <c r="D622" t="str">
        <f>"PROP TEMP SERVICO"</f>
        <v>PROP TEMP SERVICO</v>
      </c>
      <c r="E622" t="str">
        <f>"Efetivo-Inativo I- RJUSM"</f>
        <v>Efetivo-Inativo I- RJUSM</v>
      </c>
      <c r="F622" t="str">
        <f>"R$ 921,52"</f>
        <v>R$ 921,52</v>
      </c>
      <c r="G622" t="str">
        <f>"R$ 1.105,82"</f>
        <v>R$ 1.105,82</v>
      </c>
      <c r="H622" t="str">
        <f t="shared" si="53"/>
        <v>R$ 0,00</v>
      </c>
      <c r="I622" t="str">
        <f>"R$ 1.105,82"</f>
        <v>R$ 1.105,82</v>
      </c>
      <c r="J622" t="str">
        <f>"R$ 552,91"</f>
        <v>R$ 552,91</v>
      </c>
      <c r="K622" t="str">
        <f>"R$ 552,91"</f>
        <v>R$ 552,91</v>
      </c>
    </row>
    <row r="623" spans="1:11" x14ac:dyDescent="0.25">
      <c r="A623" t="str">
        <f>"00032115 / 1"</f>
        <v>00032115 / 1</v>
      </c>
      <c r="B623" t="str">
        <f>"Folha Mensal"</f>
        <v>Folha Mensal</v>
      </c>
      <c r="C623" t="str">
        <f>"Helena Evelin Pereira"</f>
        <v>Helena Evelin Pereira</v>
      </c>
      <c r="D623" t="str">
        <f>"PROP TEMP SERVICO"</f>
        <v>PROP TEMP SERVICO</v>
      </c>
      <c r="E623" t="str">
        <f>"Efetivo-Inativo I- RJUSM"</f>
        <v>Efetivo-Inativo I- RJUSM</v>
      </c>
      <c r="F623" t="str">
        <f>"R$ 921,52"</f>
        <v>R$ 921,52</v>
      </c>
      <c r="G623" t="str">
        <f>"R$ 1.105,82"</f>
        <v>R$ 1.105,82</v>
      </c>
      <c r="H623" t="str">
        <f t="shared" si="53"/>
        <v>R$ 0,00</v>
      </c>
      <c r="I623" t="str">
        <f>"R$ 1.105,82"</f>
        <v>R$ 1.105,82</v>
      </c>
      <c r="J623" t="str">
        <f>"R$ 0,00"</f>
        <v>R$ 0,00</v>
      </c>
      <c r="K623" t="str">
        <f>"R$ 1.105,82"</f>
        <v>R$ 1.105,82</v>
      </c>
    </row>
    <row r="624" spans="1:11" x14ac:dyDescent="0.25">
      <c r="A624" t="str">
        <f>"00070297 / 2"</f>
        <v>00070297 / 2</v>
      </c>
      <c r="B624" t="str">
        <f>"13° Salário Anual"</f>
        <v>13° Salário Anual</v>
      </c>
      <c r="C624" t="str">
        <f>"Helga Cristina Rolim Pureza"</f>
        <v>Helga Cristina Rolim Pureza</v>
      </c>
      <c r="D624" t="str">
        <f>"DAS 7B"</f>
        <v>DAS 7B</v>
      </c>
      <c r="E624" t="str">
        <f>"Comissionado"</f>
        <v>Comissionado</v>
      </c>
      <c r="F624" t="str">
        <f>"R$ 3.900,00"</f>
        <v>R$ 3.900,00</v>
      </c>
      <c r="G624" t="str">
        <f>"R$ 3.900,00"</f>
        <v>R$ 3.900,00</v>
      </c>
      <c r="H624" t="str">
        <f t="shared" si="53"/>
        <v>R$ 0,00</v>
      </c>
      <c r="I624" t="str">
        <f>"R$ 3.900,00"</f>
        <v>R$ 3.900,00</v>
      </c>
      <c r="J624" t="str">
        <f>"R$ 2.517,87"</f>
        <v>R$ 2.517,87</v>
      </c>
      <c r="K624" t="str">
        <f>"R$ 1.382,13"</f>
        <v>R$ 1.382,13</v>
      </c>
    </row>
    <row r="625" spans="1:11" x14ac:dyDescent="0.25">
      <c r="A625" t="str">
        <f>"00070297 / 2"</f>
        <v>00070297 / 2</v>
      </c>
      <c r="B625" t="str">
        <f>"Folha Mensal"</f>
        <v>Folha Mensal</v>
      </c>
      <c r="C625" t="str">
        <f>"Helga Cristina Rolim Pureza"</f>
        <v>Helga Cristina Rolim Pureza</v>
      </c>
      <c r="D625" t="str">
        <f>"DAS 7B"</f>
        <v>DAS 7B</v>
      </c>
      <c r="E625" t="str">
        <f>"Comissionado"</f>
        <v>Comissionado</v>
      </c>
      <c r="F625" t="str">
        <f>"R$ 3.900,00"</f>
        <v>R$ 3.900,00</v>
      </c>
      <c r="G625" t="str">
        <f>"R$ 3.900,00"</f>
        <v>R$ 3.900,00</v>
      </c>
      <c r="H625" t="str">
        <f t="shared" si="53"/>
        <v>R$ 0,00</v>
      </c>
      <c r="I625" t="str">
        <f>"R$ 3.900,00"</f>
        <v>R$ 3.900,00</v>
      </c>
      <c r="J625" t="str">
        <f>"R$ 567,87"</f>
        <v>R$ 567,87</v>
      </c>
      <c r="K625" t="str">
        <f>"R$ 3.332,13"</f>
        <v>R$ 3.332,13</v>
      </c>
    </row>
    <row r="626" spans="1:11" x14ac:dyDescent="0.25">
      <c r="A626" t="str">
        <f>"03642798 / 1"</f>
        <v>03642798 / 1</v>
      </c>
      <c r="B626" t="str">
        <f>"13° Salário Anual"</f>
        <v>13° Salário Anual</v>
      </c>
      <c r="C626" t="str">
        <f>"Higino Lopes Passos"</f>
        <v>Higino Lopes Passos</v>
      </c>
      <c r="D626" t="str">
        <f>"PENSIONISTA"</f>
        <v>PENSIONISTA</v>
      </c>
      <c r="E626" t="str">
        <f>"Pensionista"</f>
        <v>Pensionista</v>
      </c>
      <c r="F626" t="str">
        <f>"R$ 1.100,00"</f>
        <v>R$ 1.100,00</v>
      </c>
      <c r="G626" t="str">
        <f>"R$ 1.100,00"</f>
        <v>R$ 1.100,00</v>
      </c>
      <c r="H626" t="str">
        <f t="shared" si="53"/>
        <v>R$ 0,00</v>
      </c>
      <c r="I626" t="str">
        <f>"R$ 1.100,00"</f>
        <v>R$ 1.100,00</v>
      </c>
      <c r="J626" t="str">
        <f>"R$ 550,00"</f>
        <v>R$ 550,00</v>
      </c>
      <c r="K626" t="str">
        <f>"R$ 550,00"</f>
        <v>R$ 550,00</v>
      </c>
    </row>
    <row r="627" spans="1:11" x14ac:dyDescent="0.25">
      <c r="A627" t="str">
        <f>"03642798 / 1"</f>
        <v>03642798 / 1</v>
      </c>
      <c r="B627" t="str">
        <f>"Folha Mensal"</f>
        <v>Folha Mensal</v>
      </c>
      <c r="C627" t="str">
        <f>"Higino Lopes Passos"</f>
        <v>Higino Lopes Passos</v>
      </c>
      <c r="D627" t="str">
        <f>"PENSIONISTA"</f>
        <v>PENSIONISTA</v>
      </c>
      <c r="E627" t="str">
        <f>"Pensionista"</f>
        <v>Pensionista</v>
      </c>
      <c r="F627" t="str">
        <f>"R$ 1.100,00"</f>
        <v>R$ 1.100,00</v>
      </c>
      <c r="G627" t="str">
        <f>"R$ 1.100,00"</f>
        <v>R$ 1.100,00</v>
      </c>
      <c r="H627" t="str">
        <f t="shared" si="53"/>
        <v>R$ 0,00</v>
      </c>
      <c r="I627" t="str">
        <f>"R$ 1.100,00"</f>
        <v>R$ 1.100,00</v>
      </c>
      <c r="J627" t="str">
        <f>"R$ 0,00"</f>
        <v>R$ 0,00</v>
      </c>
      <c r="K627" t="str">
        <f>"R$ 1.100,00"</f>
        <v>R$ 1.100,00</v>
      </c>
    </row>
    <row r="628" spans="1:11" x14ac:dyDescent="0.25">
      <c r="A628" t="str">
        <f>"00005428 / 1"</f>
        <v>00005428 / 1</v>
      </c>
      <c r="B628" t="str">
        <f>"13° Salário Anual"</f>
        <v>13° Salário Anual</v>
      </c>
      <c r="C628" t="str">
        <f>"Hilda Maria Santana Tavares"</f>
        <v>Hilda Maria Santana Tavares</v>
      </c>
      <c r="D628" t="str">
        <f>"INT TEMP CONTRIBUICAO"</f>
        <v>INT TEMP CONTRIBUICAO</v>
      </c>
      <c r="E628" t="str">
        <f>"Efetivo-Inativo I- RJUSM"</f>
        <v>Efetivo-Inativo I- RJUSM</v>
      </c>
      <c r="F628" t="str">
        <f>"R$ 1.100,00"</f>
        <v>R$ 1.100,00</v>
      </c>
      <c r="G628" t="str">
        <f>"R$ 1.430,00"</f>
        <v>R$ 1.430,00</v>
      </c>
      <c r="H628" t="str">
        <f t="shared" si="53"/>
        <v>R$ 0,00</v>
      </c>
      <c r="I628" t="str">
        <f>"R$ 1.430,00"</f>
        <v>R$ 1.430,00</v>
      </c>
      <c r="J628" t="str">
        <f>"R$ 715,00"</f>
        <v>R$ 715,00</v>
      </c>
      <c r="K628" t="str">
        <f>"R$ 715,00"</f>
        <v>R$ 715,00</v>
      </c>
    </row>
    <row r="629" spans="1:11" x14ac:dyDescent="0.25">
      <c r="A629" t="str">
        <f>"00005428 / 1"</f>
        <v>00005428 / 1</v>
      </c>
      <c r="B629" t="str">
        <f>"Folha Mensal"</f>
        <v>Folha Mensal</v>
      </c>
      <c r="C629" t="str">
        <f>"Hilda Maria Santana Tavares"</f>
        <v>Hilda Maria Santana Tavares</v>
      </c>
      <c r="D629" t="str">
        <f>"INT TEMP CONTRIBUICAO"</f>
        <v>INT TEMP CONTRIBUICAO</v>
      </c>
      <c r="E629" t="str">
        <f>"Efetivo-Inativo I- RJUSM"</f>
        <v>Efetivo-Inativo I- RJUSM</v>
      </c>
      <c r="F629" t="str">
        <f>"R$ 1.100,00"</f>
        <v>R$ 1.100,00</v>
      </c>
      <c r="G629" t="str">
        <f>"R$ 1.430,00"</f>
        <v>R$ 1.430,00</v>
      </c>
      <c r="H629" t="str">
        <f t="shared" si="53"/>
        <v>R$ 0,00</v>
      </c>
      <c r="I629" t="str">
        <f>"R$ 1.430,00"</f>
        <v>R$ 1.430,00</v>
      </c>
      <c r="J629" t="str">
        <f>"R$ 0,00"</f>
        <v>R$ 0,00</v>
      </c>
      <c r="K629" t="str">
        <f>"R$ 1.430,00"</f>
        <v>R$ 1.430,00</v>
      </c>
    </row>
    <row r="630" spans="1:11" x14ac:dyDescent="0.25">
      <c r="A630" t="str">
        <f>"03642453 / 1"</f>
        <v>03642453 / 1</v>
      </c>
      <c r="B630" t="str">
        <f>"13° Salário Anual"</f>
        <v>13° Salário Anual</v>
      </c>
      <c r="C630" t="str">
        <f>"Iacy Teixeira Lima"</f>
        <v>Iacy Teixeira Lima</v>
      </c>
      <c r="D630" t="str">
        <f>"INATIVO"</f>
        <v>INATIVO</v>
      </c>
      <c r="E630" t="str">
        <f>"Efetivo-Inativo I- RJUSM"</f>
        <v>Efetivo-Inativo I- RJUSM</v>
      </c>
      <c r="F630" t="str">
        <f>"R$ 1.689,87"</f>
        <v>R$ 1.689,87</v>
      </c>
      <c r="G630" t="str">
        <f>"R$ 1.858,85"</f>
        <v>R$ 1.858,85</v>
      </c>
      <c r="H630" t="str">
        <f t="shared" si="53"/>
        <v>R$ 0,00</v>
      </c>
      <c r="I630" t="str">
        <f>"R$ 1.858,85"</f>
        <v>R$ 1.858,85</v>
      </c>
      <c r="J630" t="str">
        <f>"R$ 929,42"</f>
        <v>R$ 929,42</v>
      </c>
      <c r="K630" t="str">
        <f>"R$ 929,43"</f>
        <v>R$ 929,43</v>
      </c>
    </row>
    <row r="631" spans="1:11" x14ac:dyDescent="0.25">
      <c r="A631" t="str">
        <f>"03642453 / 1"</f>
        <v>03642453 / 1</v>
      </c>
      <c r="B631" t="str">
        <f>"Folha Mensal"</f>
        <v>Folha Mensal</v>
      </c>
      <c r="C631" t="str">
        <f>"Iacy Teixeira Lima"</f>
        <v>Iacy Teixeira Lima</v>
      </c>
      <c r="D631" t="str">
        <f>"INATIVO"</f>
        <v>INATIVO</v>
      </c>
      <c r="E631" t="str">
        <f>"Efetivo-Inativo I- RJUSM"</f>
        <v>Efetivo-Inativo I- RJUSM</v>
      </c>
      <c r="F631" t="str">
        <f>"R$ 1.689,87"</f>
        <v>R$ 1.689,87</v>
      </c>
      <c r="G631" t="str">
        <f>"R$ 1.858,85"</f>
        <v>R$ 1.858,85</v>
      </c>
      <c r="H631" t="str">
        <f t="shared" si="53"/>
        <v>R$ 0,00</v>
      </c>
      <c r="I631" t="str">
        <f>"R$ 1.858,85"</f>
        <v>R$ 1.858,85</v>
      </c>
      <c r="J631" t="str">
        <f>"R$ 0,00"</f>
        <v>R$ 0,00</v>
      </c>
      <c r="K631" t="str">
        <f>"R$ 1.858,85"</f>
        <v>R$ 1.858,85</v>
      </c>
    </row>
    <row r="632" spans="1:11" x14ac:dyDescent="0.25">
      <c r="A632" t="str">
        <f>"00004847 / 1"</f>
        <v>00004847 / 1</v>
      </c>
      <c r="B632" t="str">
        <f>"13° Salário Anual"</f>
        <v>13° Salário Anual</v>
      </c>
      <c r="C632" t="str">
        <f>"Iara de Lourdes Branco e Silva"</f>
        <v>Iara de Lourdes Branco e Silva</v>
      </c>
      <c r="D632" t="str">
        <f>"INT TEMP CONTRIBUICAO"</f>
        <v>INT TEMP CONTRIBUICAO</v>
      </c>
      <c r="E632" t="str">
        <f>"Efetivo-Inativos II-RJUSM"</f>
        <v>Efetivo-Inativos II-RJUSM</v>
      </c>
      <c r="F632" t="str">
        <f>"R$ 1.028,75"</f>
        <v>R$ 1.028,75</v>
      </c>
      <c r="G632" t="str">
        <f>"R$ 1.388,81"</f>
        <v>R$ 1.388,81</v>
      </c>
      <c r="H632" t="str">
        <f t="shared" si="53"/>
        <v>R$ 0,00</v>
      </c>
      <c r="I632" t="str">
        <f>"R$ 1.388,81"</f>
        <v>R$ 1.388,81</v>
      </c>
      <c r="J632" t="str">
        <f>"R$ 694,40"</f>
        <v>R$ 694,40</v>
      </c>
      <c r="K632" t="str">
        <f>"R$ 694,41"</f>
        <v>R$ 694,41</v>
      </c>
    </row>
    <row r="633" spans="1:11" x14ac:dyDescent="0.25">
      <c r="A633" t="str">
        <f>"00004847 / 1"</f>
        <v>00004847 / 1</v>
      </c>
      <c r="B633" t="str">
        <f>"Folha Mensal"</f>
        <v>Folha Mensal</v>
      </c>
      <c r="C633" t="str">
        <f>"Iara de Lourdes Branco e Silva"</f>
        <v>Iara de Lourdes Branco e Silva</v>
      </c>
      <c r="D633" t="str">
        <f>"INT TEMP CONTRIBUICAO"</f>
        <v>INT TEMP CONTRIBUICAO</v>
      </c>
      <c r="E633" t="str">
        <f>"Efetivo-Inativos II-RJUSM"</f>
        <v>Efetivo-Inativos II-RJUSM</v>
      </c>
      <c r="F633" t="str">
        <f>"R$ 1.028,75"</f>
        <v>R$ 1.028,75</v>
      </c>
      <c r="G633" t="str">
        <f>"R$ 1.388,81"</f>
        <v>R$ 1.388,81</v>
      </c>
      <c r="H633" t="str">
        <f t="shared" si="53"/>
        <v>R$ 0,00</v>
      </c>
      <c r="I633" t="str">
        <f>"R$ 1.388,81"</f>
        <v>R$ 1.388,81</v>
      </c>
      <c r="J633" t="str">
        <f>"R$ 416,35"</f>
        <v>R$ 416,35</v>
      </c>
      <c r="K633" t="str">
        <f>"R$ 972,46"</f>
        <v>R$ 972,46</v>
      </c>
    </row>
    <row r="634" spans="1:11" x14ac:dyDescent="0.25">
      <c r="A634" t="str">
        <f>"00052027 / 2"</f>
        <v>00052027 / 2</v>
      </c>
      <c r="B634" t="str">
        <f>"13° Salário Anual"</f>
        <v>13° Salário Anual</v>
      </c>
      <c r="C634" t="str">
        <f>"Idailza Silva da Silva"</f>
        <v>Idailza Silva da Silva</v>
      </c>
      <c r="D634" t="str">
        <f>"PROFESSOR NIVEL II"</f>
        <v>PROFESSOR NIVEL II</v>
      </c>
      <c r="E634" t="str">
        <f>"Efetivo-Inativos II-RJUSM"</f>
        <v>Efetivo-Inativos II-RJUSM</v>
      </c>
      <c r="F634" t="str">
        <f>"R$ 5.258,43"</f>
        <v>R$ 5.258,43</v>
      </c>
      <c r="G634" t="str">
        <f>"R$ 6.310,11"</f>
        <v>R$ 6.310,11</v>
      </c>
      <c r="H634" t="str">
        <f t="shared" si="53"/>
        <v>R$ 0,00</v>
      </c>
      <c r="I634" t="str">
        <f>"R$ 6.310,11"</f>
        <v>R$ 6.310,11</v>
      </c>
      <c r="J634" t="str">
        <f>"R$ 3.490,31"</f>
        <v>R$ 3.490,31</v>
      </c>
      <c r="K634" t="str">
        <f>"R$ 2.819,80"</f>
        <v>R$ 2.819,80</v>
      </c>
    </row>
    <row r="635" spans="1:11" x14ac:dyDescent="0.25">
      <c r="A635" t="str">
        <f>"00052027 / 2"</f>
        <v>00052027 / 2</v>
      </c>
      <c r="B635" t="str">
        <f>"Folha Mensal"</f>
        <v>Folha Mensal</v>
      </c>
      <c r="C635" t="str">
        <f>"Idailza Silva da Silva"</f>
        <v>Idailza Silva da Silva</v>
      </c>
      <c r="D635" t="str">
        <f>"PROFESSOR NIVEL II"</f>
        <v>PROFESSOR NIVEL II</v>
      </c>
      <c r="E635" t="str">
        <f>"Efetivo-Inativos II-RJUSM"</f>
        <v>Efetivo-Inativos II-RJUSM</v>
      </c>
      <c r="F635" t="str">
        <f>"R$ 5.258,43"</f>
        <v>R$ 5.258,43</v>
      </c>
      <c r="G635" t="str">
        <f>"R$ 6.310,11"</f>
        <v>R$ 6.310,11</v>
      </c>
      <c r="H635" t="str">
        <f t="shared" si="53"/>
        <v>R$ 0,00</v>
      </c>
      <c r="I635" t="str">
        <f>"R$ 6.310,11"</f>
        <v>R$ 6.310,11</v>
      </c>
      <c r="J635" t="str">
        <f>"R$ 1.747,04"</f>
        <v>R$ 1.747,04</v>
      </c>
      <c r="K635" t="str">
        <f>"R$ 4.563,07"</f>
        <v>R$ 4.563,07</v>
      </c>
    </row>
    <row r="636" spans="1:11" x14ac:dyDescent="0.25">
      <c r="A636" t="str">
        <f>"03641740 / 1"</f>
        <v>03641740 / 1</v>
      </c>
      <c r="B636" t="str">
        <f>"13° Salário Anual"</f>
        <v>13° Salário Anual</v>
      </c>
      <c r="C636" t="str">
        <f>"Igor Baia Martins"</f>
        <v>Igor Baia Martins</v>
      </c>
      <c r="D636" t="str">
        <f>"DAS 06"</f>
        <v>DAS 06</v>
      </c>
      <c r="E636" t="str">
        <f>"Comissionado"</f>
        <v>Comissionado</v>
      </c>
      <c r="F636" t="str">
        <f>"R$ 2.427,00"</f>
        <v>R$ 2.427,00</v>
      </c>
      <c r="G636" t="str">
        <f>"R$ 809,00"</f>
        <v>R$ 809,00</v>
      </c>
      <c r="H636" t="str">
        <f t="shared" si="53"/>
        <v>R$ 0,00</v>
      </c>
      <c r="I636" t="str">
        <f>"R$ 809,00"</f>
        <v>R$ 809,00</v>
      </c>
      <c r="J636" t="str">
        <f>"R$ 465,17"</f>
        <v>R$ 465,17</v>
      </c>
      <c r="K636" t="str">
        <f>"R$ 343,83"</f>
        <v>R$ 343,83</v>
      </c>
    </row>
    <row r="637" spans="1:11" x14ac:dyDescent="0.25">
      <c r="A637" t="str">
        <f>"03641740 / 1"</f>
        <v>03641740 / 1</v>
      </c>
      <c r="B637" t="str">
        <f>"Folha Mensal"</f>
        <v>Folha Mensal</v>
      </c>
      <c r="C637" t="str">
        <f>"Igor Baia Martins"</f>
        <v>Igor Baia Martins</v>
      </c>
      <c r="D637" t="str">
        <f>"DAS 06"</f>
        <v>DAS 06</v>
      </c>
      <c r="E637" t="str">
        <f>"Comissionado"</f>
        <v>Comissionado</v>
      </c>
      <c r="F637" t="str">
        <f>"R$ 2.427,00"</f>
        <v>R$ 2.427,00</v>
      </c>
      <c r="G637" t="str">
        <f>"R$ 2.427,00"</f>
        <v>R$ 2.427,00</v>
      </c>
      <c r="H637" t="str">
        <f t="shared" si="53"/>
        <v>R$ 0,00</v>
      </c>
      <c r="I637" t="str">
        <f>"R$ 2.427,00"</f>
        <v>R$ 2.427,00</v>
      </c>
      <c r="J637" t="str">
        <f>"R$ 232,20"</f>
        <v>R$ 232,20</v>
      </c>
      <c r="K637" t="str">
        <f>"R$ 2.194,80"</f>
        <v>R$ 2.194,80</v>
      </c>
    </row>
    <row r="638" spans="1:11" x14ac:dyDescent="0.25">
      <c r="A638" t="str">
        <f>"03641910 / 1"</f>
        <v>03641910 / 1</v>
      </c>
      <c r="B638" t="str">
        <f>"13° Salário Anual"</f>
        <v>13° Salário Anual</v>
      </c>
      <c r="C638" t="str">
        <f>"Ildete Maria Cardoso Bandeira"</f>
        <v>Ildete Maria Cardoso Bandeira</v>
      </c>
      <c r="D638" t="str">
        <f>"PROFESSOR NIVEL III_"</f>
        <v>PROFESSOR NIVEL III_</v>
      </c>
      <c r="E638" t="str">
        <f>"Efetivo-Inativos II-RJUSM"</f>
        <v>Efetivo-Inativos II-RJUSM</v>
      </c>
      <c r="F638" t="str">
        <f>"R$ 2.868,23"</f>
        <v>R$ 2.868,23</v>
      </c>
      <c r="G638" t="str">
        <f>"R$ 884,36"</f>
        <v>R$ 884,36</v>
      </c>
      <c r="H638" t="str">
        <f t="shared" si="53"/>
        <v>R$ 0,00</v>
      </c>
      <c r="I638" t="str">
        <f>"R$ 884,36"</f>
        <v>R$ 884,36</v>
      </c>
      <c r="J638" t="str">
        <f>"R$ 0,00"</f>
        <v>R$ 0,00</v>
      </c>
      <c r="K638" t="str">
        <f>"R$ 884,36"</f>
        <v>R$ 884,36</v>
      </c>
    </row>
    <row r="639" spans="1:11" x14ac:dyDescent="0.25">
      <c r="A639" t="str">
        <f>"03641910 / 1"</f>
        <v>03641910 / 1</v>
      </c>
      <c r="B639" t="str">
        <f>"Folha Mensal"</f>
        <v>Folha Mensal</v>
      </c>
      <c r="C639" t="str">
        <f>"Ildete Maria Cardoso Bandeira"</f>
        <v>Ildete Maria Cardoso Bandeira</v>
      </c>
      <c r="D639" t="str">
        <f>"PROFESSOR NIVEL III_"</f>
        <v>PROFESSOR NIVEL III_</v>
      </c>
      <c r="E639" t="str">
        <f>"Efetivo-Inativos II-RJUSM"</f>
        <v>Efetivo-Inativos II-RJUSM</v>
      </c>
      <c r="F639" t="str">
        <f>"R$ 2.868,23"</f>
        <v>R$ 2.868,23</v>
      </c>
      <c r="G639" t="str">
        <f>"R$ 5.736,45"</f>
        <v>R$ 5.736,45</v>
      </c>
      <c r="H639" t="str">
        <f t="shared" si="53"/>
        <v>R$ 0,00</v>
      </c>
      <c r="I639" t="str">
        <f>"R$ 5.736,45"</f>
        <v>R$ 5.736,45</v>
      </c>
      <c r="J639" t="str">
        <f>"R$ 656,02"</f>
        <v>R$ 656,02</v>
      </c>
      <c r="K639" t="str">
        <f>"R$ 5.080,43"</f>
        <v>R$ 5.080,43</v>
      </c>
    </row>
    <row r="640" spans="1:11" x14ac:dyDescent="0.25">
      <c r="A640" t="str">
        <f>"03642801 / 1"</f>
        <v>03642801 / 1</v>
      </c>
      <c r="B640" t="str">
        <f>"13° Salário Anual"</f>
        <v>13° Salário Anual</v>
      </c>
      <c r="C640" t="str">
        <f>"Inacia Gaspar Freitas"</f>
        <v>Inacia Gaspar Freitas</v>
      </c>
      <c r="D640" t="str">
        <f>"PROP IDADE"</f>
        <v>PROP IDADE</v>
      </c>
      <c r="E640" t="str">
        <f>"Efetivo-Inativo I- RJUSM"</f>
        <v>Efetivo-Inativo I- RJUSM</v>
      </c>
      <c r="F640" t="str">
        <f>"R$ 1.100,00"</f>
        <v>R$ 1.100,00</v>
      </c>
      <c r="G640" t="str">
        <f>"R$ 1.100,00"</f>
        <v>R$ 1.100,00</v>
      </c>
      <c r="H640" t="str">
        <f t="shared" si="53"/>
        <v>R$ 0,00</v>
      </c>
      <c r="I640" t="str">
        <f>"R$ 1.100,00"</f>
        <v>R$ 1.100,00</v>
      </c>
      <c r="J640" t="str">
        <f>"R$ 550,00"</f>
        <v>R$ 550,00</v>
      </c>
      <c r="K640" t="str">
        <f>"R$ 550,00"</f>
        <v>R$ 550,00</v>
      </c>
    </row>
    <row r="641" spans="1:11" x14ac:dyDescent="0.25">
      <c r="A641" t="str">
        <f>"03642801 / 1"</f>
        <v>03642801 / 1</v>
      </c>
      <c r="B641" t="str">
        <f>"Folha Mensal"</f>
        <v>Folha Mensal</v>
      </c>
      <c r="C641" t="str">
        <f>"Inacia Gaspar Freitas"</f>
        <v>Inacia Gaspar Freitas</v>
      </c>
      <c r="D641" t="str">
        <f>"PROP IDADE"</f>
        <v>PROP IDADE</v>
      </c>
      <c r="E641" t="str">
        <f>"Efetivo-Inativo I- RJUSM"</f>
        <v>Efetivo-Inativo I- RJUSM</v>
      </c>
      <c r="F641" t="str">
        <f>"R$ 1.100,00"</f>
        <v>R$ 1.100,00</v>
      </c>
      <c r="G641" t="str">
        <f>"R$ 1.100,00"</f>
        <v>R$ 1.100,00</v>
      </c>
      <c r="H641" t="str">
        <f t="shared" si="53"/>
        <v>R$ 0,00</v>
      </c>
      <c r="I641" t="str">
        <f>"R$ 1.100,00"</f>
        <v>R$ 1.100,00</v>
      </c>
      <c r="J641" t="str">
        <f>"R$ 0,00"</f>
        <v>R$ 0,00</v>
      </c>
      <c r="K641" t="str">
        <f>"R$ 1.100,00"</f>
        <v>R$ 1.100,00</v>
      </c>
    </row>
    <row r="642" spans="1:11" x14ac:dyDescent="0.25">
      <c r="A642" t="str">
        <f>"00006289 / 1"</f>
        <v>00006289 / 1</v>
      </c>
      <c r="B642" t="str">
        <f>"13° Salário Anual"</f>
        <v>13° Salário Anual</v>
      </c>
      <c r="C642" t="str">
        <f>"Iolete Cavalcante Carneiro"</f>
        <v>Iolete Cavalcante Carneiro</v>
      </c>
      <c r="D642" t="str">
        <f>"PROFESSOR NIVEL III"</f>
        <v>PROFESSOR NIVEL III</v>
      </c>
      <c r="E642" t="str">
        <f>"Efetivo-Inativos II-RJUSM"</f>
        <v>Efetivo-Inativos II-RJUSM</v>
      </c>
      <c r="F642" t="str">
        <f>"R$ 4.541,37"</f>
        <v>R$ 4.541,37</v>
      </c>
      <c r="G642" t="str">
        <f>"R$ 5.903,78"</f>
        <v>R$ 5.903,78</v>
      </c>
      <c r="H642" t="str">
        <f t="shared" si="53"/>
        <v>R$ 0,00</v>
      </c>
      <c r="I642" t="str">
        <f>"R$ 5.903,78"</f>
        <v>R$ 5.903,78</v>
      </c>
      <c r="J642" t="str">
        <f>"R$ 3.706,06"</f>
        <v>R$ 3.706,06</v>
      </c>
      <c r="K642" t="str">
        <f>"R$ 2.197,72"</f>
        <v>R$ 2.197,72</v>
      </c>
    </row>
    <row r="643" spans="1:11" x14ac:dyDescent="0.25">
      <c r="A643" t="str">
        <f>"00006289 / 1"</f>
        <v>00006289 / 1</v>
      </c>
      <c r="B643" t="str">
        <f>"Folha Mensal"</f>
        <v>Folha Mensal</v>
      </c>
      <c r="C643" t="str">
        <f>"Iolete Cavalcante Carneiro"</f>
        <v>Iolete Cavalcante Carneiro</v>
      </c>
      <c r="D643" t="str">
        <f>"PROFESSOR NIVEL III"</f>
        <v>PROFESSOR NIVEL III</v>
      </c>
      <c r="E643" t="str">
        <f>"Efetivo-Inativos II-RJUSM"</f>
        <v>Efetivo-Inativos II-RJUSM</v>
      </c>
      <c r="F643" t="str">
        <f>"R$ 4.541,37"</f>
        <v>R$ 4.541,37</v>
      </c>
      <c r="G643" t="str">
        <f>"R$ 5.903,78"</f>
        <v>R$ 5.903,78</v>
      </c>
      <c r="H643" t="str">
        <f t="shared" si="53"/>
        <v>R$ 0,00</v>
      </c>
      <c r="I643" t="str">
        <f>"R$ 5.903,78"</f>
        <v>R$ 5.903,78</v>
      </c>
      <c r="J643" t="str">
        <f>"R$ 1.598,99"</f>
        <v>R$ 1.598,99</v>
      </c>
      <c r="K643" t="str">
        <f>"R$ 4.304,79"</f>
        <v>R$ 4.304,79</v>
      </c>
    </row>
    <row r="644" spans="1:11" x14ac:dyDescent="0.25">
      <c r="A644" t="str">
        <f>"03641279 / 1"</f>
        <v>03641279 / 1</v>
      </c>
      <c r="B644" t="str">
        <f>"13° Salário Anual"</f>
        <v>13° Salário Anual</v>
      </c>
      <c r="C644" t="str">
        <f>"Iracema Michelle Albuquerque de Farias"</f>
        <v>Iracema Michelle Albuquerque de Farias</v>
      </c>
      <c r="D644" t="str">
        <f>"DAS 08"</f>
        <v>DAS 08</v>
      </c>
      <c r="E644" t="str">
        <f>"Comissionado"</f>
        <v>Comissionado</v>
      </c>
      <c r="F644" t="str">
        <f>"R$ 4.200,00"</f>
        <v>R$ 4.200,00</v>
      </c>
      <c r="G644" t="str">
        <f>"R$ 2.800,00"</f>
        <v>R$ 2.800,00</v>
      </c>
      <c r="H644" t="str">
        <f t="shared" si="53"/>
        <v>R$ 0,00</v>
      </c>
      <c r="I644" t="str">
        <f>"R$ 2.800,00"</f>
        <v>R$ 2.800,00</v>
      </c>
      <c r="J644" t="str">
        <f>"R$ 1.701,58"</f>
        <v>R$ 1.701,58</v>
      </c>
      <c r="K644" t="str">
        <f>"R$ 1.098,42"</f>
        <v>R$ 1.098,42</v>
      </c>
    </row>
    <row r="645" spans="1:11" x14ac:dyDescent="0.25">
      <c r="A645" t="str">
        <f>"03641279 / 1"</f>
        <v>03641279 / 1</v>
      </c>
      <c r="B645" t="str">
        <f>"Folha Mensal"</f>
        <v>Folha Mensal</v>
      </c>
      <c r="C645" t="str">
        <f>"Iracema Michelle Albuquerque de Farias"</f>
        <v>Iracema Michelle Albuquerque de Farias</v>
      </c>
      <c r="D645" t="str">
        <f>"DAS 08"</f>
        <v>DAS 08</v>
      </c>
      <c r="E645" t="str">
        <f>"Comissionado"</f>
        <v>Comissionado</v>
      </c>
      <c r="F645" t="str">
        <f>"R$ 4.200,00"</f>
        <v>R$ 4.200,00</v>
      </c>
      <c r="G645" t="str">
        <f>"R$ 4.200,00"</f>
        <v>R$ 4.200,00</v>
      </c>
      <c r="H645" t="str">
        <f t="shared" si="53"/>
        <v>R$ 0,00</v>
      </c>
      <c r="I645" t="str">
        <f>"R$ 4.200,00"</f>
        <v>R$ 4.200,00</v>
      </c>
      <c r="J645" t="str">
        <f>"R$ 649,30"</f>
        <v>R$ 649,30</v>
      </c>
      <c r="K645" t="str">
        <f>"R$ 3.550,70"</f>
        <v>R$ 3.550,70</v>
      </c>
    </row>
    <row r="646" spans="1:11" x14ac:dyDescent="0.25">
      <c r="A646" t="str">
        <f>"00004014 / 1"</f>
        <v>00004014 / 1</v>
      </c>
      <c r="B646" t="str">
        <f>"13° Salário Anual"</f>
        <v>13° Salário Anual</v>
      </c>
      <c r="C646" t="str">
        <f>"Iracira Oeiras de Assuncao Romao"</f>
        <v>Iracira Oeiras de Assuncao Romao</v>
      </c>
      <c r="D646" t="str">
        <f>"PROP IDADE"</f>
        <v>PROP IDADE</v>
      </c>
      <c r="E646" t="str">
        <f>"Efetivo-Inativo I- RJUSM"</f>
        <v>Efetivo-Inativo I- RJUSM</v>
      </c>
      <c r="F646" t="str">
        <f>"R$ 680,37"</f>
        <v>R$ 680,37</v>
      </c>
      <c r="G646" t="str">
        <f>"R$ 1.100,00"</f>
        <v>R$ 1.100,00</v>
      </c>
      <c r="H646" t="str">
        <f t="shared" si="53"/>
        <v>R$ 0,00</v>
      </c>
      <c r="I646" t="str">
        <f>"R$ 1.100,00"</f>
        <v>R$ 1.100,00</v>
      </c>
      <c r="J646" t="str">
        <f>"R$ 550,00"</f>
        <v>R$ 550,00</v>
      </c>
      <c r="K646" t="str">
        <f>"R$ 550,00"</f>
        <v>R$ 550,00</v>
      </c>
    </row>
    <row r="647" spans="1:11" x14ac:dyDescent="0.25">
      <c r="A647" t="str">
        <f>"00004014 / 1"</f>
        <v>00004014 / 1</v>
      </c>
      <c r="B647" t="str">
        <f>"Folha Mensal"</f>
        <v>Folha Mensal</v>
      </c>
      <c r="C647" t="str">
        <f>"Iracira Oeiras de Assuncao Romao"</f>
        <v>Iracira Oeiras de Assuncao Romao</v>
      </c>
      <c r="D647" t="str">
        <f>"PROP IDADE"</f>
        <v>PROP IDADE</v>
      </c>
      <c r="E647" t="str">
        <f>"Efetivo-Inativo I- RJUSM"</f>
        <v>Efetivo-Inativo I- RJUSM</v>
      </c>
      <c r="F647" t="str">
        <f>"R$ 680,37"</f>
        <v>R$ 680,37</v>
      </c>
      <c r="G647" t="str">
        <f>"R$ 1.100,00"</f>
        <v>R$ 1.100,00</v>
      </c>
      <c r="H647" t="str">
        <f t="shared" si="53"/>
        <v>R$ 0,00</v>
      </c>
      <c r="I647" t="str">
        <f>"R$ 1.100,00"</f>
        <v>R$ 1.100,00</v>
      </c>
      <c r="J647" t="str">
        <f>"R$ 0,00"</f>
        <v>R$ 0,00</v>
      </c>
      <c r="K647" t="str">
        <f>"R$ 1.100,00"</f>
        <v>R$ 1.100,00</v>
      </c>
    </row>
    <row r="648" spans="1:11" x14ac:dyDescent="0.25">
      <c r="A648" t="str">
        <f>"00026069 / 1"</f>
        <v>00026069 / 1</v>
      </c>
      <c r="B648" t="str">
        <f>"13° Salário Anual"</f>
        <v>13° Salário Anual</v>
      </c>
      <c r="C648" t="str">
        <f>"Iracy Macedo de Melo"</f>
        <v>Iracy Macedo de Melo</v>
      </c>
      <c r="D648" t="str">
        <f>"PROFESSOR"</f>
        <v>PROFESSOR</v>
      </c>
      <c r="E648" t="str">
        <f>"Efetivo-Inativo I- RJUSM"</f>
        <v>Efetivo-Inativo I- RJUSM</v>
      </c>
      <c r="F648" t="str">
        <f>"R$ 1.593,46"</f>
        <v>R$ 1.593,46</v>
      </c>
      <c r="G648" t="str">
        <f>"R$ 2.071,49"</f>
        <v>R$ 2.071,49</v>
      </c>
      <c r="H648" t="str">
        <f t="shared" si="53"/>
        <v>R$ 0,00</v>
      </c>
      <c r="I648" t="str">
        <f>"R$ 2.071,49"</f>
        <v>R$ 2.071,49</v>
      </c>
      <c r="J648" t="str">
        <f>"R$ 1.035,74"</f>
        <v>R$ 1.035,74</v>
      </c>
      <c r="K648" t="str">
        <f>"R$ 1.035,75"</f>
        <v>R$ 1.035,75</v>
      </c>
    </row>
    <row r="649" spans="1:11" x14ac:dyDescent="0.25">
      <c r="A649" t="str">
        <f>"00026069 / 1"</f>
        <v>00026069 / 1</v>
      </c>
      <c r="B649" t="str">
        <f>"Folha Mensal"</f>
        <v>Folha Mensal</v>
      </c>
      <c r="C649" t="str">
        <f>"Iracy Macedo de Melo"</f>
        <v>Iracy Macedo de Melo</v>
      </c>
      <c r="D649" t="str">
        <f>"PROFESSOR"</f>
        <v>PROFESSOR</v>
      </c>
      <c r="E649" t="str">
        <f>"Efetivo-Inativo I- RJUSM"</f>
        <v>Efetivo-Inativo I- RJUSM</v>
      </c>
      <c r="F649" t="str">
        <f>"R$ 1.593,46"</f>
        <v>R$ 1.593,46</v>
      </c>
      <c r="G649" t="str">
        <f>"R$ 2.071,49"</f>
        <v>R$ 2.071,49</v>
      </c>
      <c r="H649" t="str">
        <f t="shared" si="53"/>
        <v>R$ 0,00</v>
      </c>
      <c r="I649" t="str">
        <f>"R$ 2.071,49"</f>
        <v>R$ 2.071,49</v>
      </c>
      <c r="J649" t="str">
        <f>"R$ 725,09"</f>
        <v>R$ 725,09</v>
      </c>
      <c r="K649" t="str">
        <f>"R$ 1.346,40"</f>
        <v>R$ 1.346,40</v>
      </c>
    </row>
    <row r="650" spans="1:11" x14ac:dyDescent="0.25">
      <c r="A650" t="str">
        <f>"00024147 / 1"</f>
        <v>00024147 / 1</v>
      </c>
      <c r="B650" t="str">
        <f>"13° Salário Anual"</f>
        <v>13° Salário Anual</v>
      </c>
      <c r="C650" t="str">
        <f>"Irajara de Fatima da Cunha Nascimento"</f>
        <v>Irajara de Fatima da Cunha Nascimento</v>
      </c>
      <c r="D650" t="str">
        <f>"PROFESSOR NIVEL II"</f>
        <v>PROFESSOR NIVEL II</v>
      </c>
      <c r="E650" t="str">
        <f>"Efetivo-Inativos II-RJUSM"</f>
        <v>Efetivo-Inativos II-RJUSM</v>
      </c>
      <c r="F650" t="str">
        <f>"R$ 5.736,47"</f>
        <v>R$ 5.736,47</v>
      </c>
      <c r="G650" t="str">
        <f>"R$ 7.457,41"</f>
        <v>R$ 7.457,41</v>
      </c>
      <c r="H650" t="str">
        <f t="shared" si="53"/>
        <v>R$ 0,00</v>
      </c>
      <c r="I650" t="str">
        <f>"R$ 7.457,41"</f>
        <v>R$ 7.457,41</v>
      </c>
      <c r="J650" t="str">
        <f>"R$ 3.918,58"</f>
        <v>R$ 3.918,58</v>
      </c>
      <c r="K650" t="str">
        <f>"R$ 3.538,83"</f>
        <v>R$ 3.538,83</v>
      </c>
    </row>
    <row r="651" spans="1:11" x14ac:dyDescent="0.25">
      <c r="A651" t="str">
        <f>"00024147 / 1"</f>
        <v>00024147 / 1</v>
      </c>
      <c r="B651" t="str">
        <f>"Folha Mensal"</f>
        <v>Folha Mensal</v>
      </c>
      <c r="C651" t="str">
        <f>"Irajara de Fatima da Cunha Nascimento"</f>
        <v>Irajara de Fatima da Cunha Nascimento</v>
      </c>
      <c r="D651" t="str">
        <f>"PROFESSOR NIVEL II"</f>
        <v>PROFESSOR NIVEL II</v>
      </c>
      <c r="E651" t="str">
        <f>"Efetivo-Inativos II-RJUSM"</f>
        <v>Efetivo-Inativos II-RJUSM</v>
      </c>
      <c r="F651" t="str">
        <f>"R$ 5.736,47"</f>
        <v>R$ 5.736,47</v>
      </c>
      <c r="G651" t="str">
        <f>"R$ 7.457,41"</f>
        <v>R$ 7.457,41</v>
      </c>
      <c r="H651" t="str">
        <f t="shared" si="53"/>
        <v>R$ 0,00</v>
      </c>
      <c r="I651" t="str">
        <f>"R$ 7.457,41"</f>
        <v>R$ 7.457,41</v>
      </c>
      <c r="J651" t="str">
        <f>"R$ 2.273,53"</f>
        <v>R$ 2.273,53</v>
      </c>
      <c r="K651" t="str">
        <f>"R$ 5.183,88"</f>
        <v>R$ 5.183,88</v>
      </c>
    </row>
    <row r="652" spans="1:11" x14ac:dyDescent="0.25">
      <c r="A652" t="str">
        <f>"00009660 / 1"</f>
        <v>00009660 / 1</v>
      </c>
      <c r="B652" t="str">
        <f>"13° Salário Anual"</f>
        <v>13° Salário Anual</v>
      </c>
      <c r="C652" t="str">
        <f>"Iraneide dos Santos"</f>
        <v>Iraneide dos Santos</v>
      </c>
      <c r="D652" t="str">
        <f>"PROFESSOR"</f>
        <v>PROFESSOR</v>
      </c>
      <c r="E652" t="str">
        <f t="shared" ref="E652:E657" si="56">"Efetivo-Inativo I- RJUSM"</f>
        <v>Efetivo-Inativo I- RJUSM</v>
      </c>
      <c r="F652" t="str">
        <f>"R$ 1.593,46"</f>
        <v>R$ 1.593,46</v>
      </c>
      <c r="G652" t="str">
        <f>"R$ 1.832,47"</f>
        <v>R$ 1.832,47</v>
      </c>
      <c r="H652" t="str">
        <f t="shared" si="53"/>
        <v>R$ 0,00</v>
      </c>
      <c r="I652" t="str">
        <f>"R$ 1.832,47"</f>
        <v>R$ 1.832,47</v>
      </c>
      <c r="J652" t="str">
        <f>"R$ 916,23"</f>
        <v>R$ 916,23</v>
      </c>
      <c r="K652" t="str">
        <f>"R$ 916,24"</f>
        <v>R$ 916,24</v>
      </c>
    </row>
    <row r="653" spans="1:11" x14ac:dyDescent="0.25">
      <c r="A653" t="str">
        <f>"00009660 / 1"</f>
        <v>00009660 / 1</v>
      </c>
      <c r="B653" t="str">
        <f>"Folha Mensal"</f>
        <v>Folha Mensal</v>
      </c>
      <c r="C653" t="str">
        <f>"Iraneide dos Santos"</f>
        <v>Iraneide dos Santos</v>
      </c>
      <c r="D653" t="str">
        <f>"PROFESSOR"</f>
        <v>PROFESSOR</v>
      </c>
      <c r="E653" t="str">
        <f t="shared" si="56"/>
        <v>Efetivo-Inativo I- RJUSM</v>
      </c>
      <c r="F653" t="str">
        <f>"R$ 1.593,46"</f>
        <v>R$ 1.593,46</v>
      </c>
      <c r="G653" t="str">
        <f>"R$ 1.832,47"</f>
        <v>R$ 1.832,47</v>
      </c>
      <c r="H653" t="str">
        <f t="shared" si="53"/>
        <v>R$ 0,00</v>
      </c>
      <c r="I653" t="str">
        <f>"R$ 1.832,47"</f>
        <v>R$ 1.832,47</v>
      </c>
      <c r="J653" t="str">
        <f>"R$ 0,00"</f>
        <v>R$ 0,00</v>
      </c>
      <c r="K653" t="str">
        <f>"R$ 1.832,47"</f>
        <v>R$ 1.832,47</v>
      </c>
    </row>
    <row r="654" spans="1:11" x14ac:dyDescent="0.25">
      <c r="A654" t="str">
        <f>"00162833 / 1"</f>
        <v>00162833 / 1</v>
      </c>
      <c r="B654" t="str">
        <f>"13° Salário Anual"</f>
        <v>13° Salário Anual</v>
      </c>
      <c r="C654" t="str">
        <f>"Iranilda Azevedo Monteiro"</f>
        <v>Iranilda Azevedo Monteiro</v>
      </c>
      <c r="D654" t="str">
        <f>"PROP IDADE"</f>
        <v>PROP IDADE</v>
      </c>
      <c r="E654" t="str">
        <f t="shared" si="56"/>
        <v>Efetivo-Inativo I- RJUSM</v>
      </c>
      <c r="F654" t="str">
        <f>"R$ 1.100,00"</f>
        <v>R$ 1.100,00</v>
      </c>
      <c r="G654" t="str">
        <f>"R$ 1.100,00"</f>
        <v>R$ 1.100,00</v>
      </c>
      <c r="H654" t="str">
        <f t="shared" si="53"/>
        <v>R$ 0,00</v>
      </c>
      <c r="I654" t="str">
        <f>"R$ 1.100,00"</f>
        <v>R$ 1.100,00</v>
      </c>
      <c r="J654" t="str">
        <f>"R$ 550,00"</f>
        <v>R$ 550,00</v>
      </c>
      <c r="K654" t="str">
        <f>"R$ 550,00"</f>
        <v>R$ 550,00</v>
      </c>
    </row>
    <row r="655" spans="1:11" x14ac:dyDescent="0.25">
      <c r="A655" t="str">
        <f>"00162833 / 1"</f>
        <v>00162833 / 1</v>
      </c>
      <c r="B655" t="str">
        <f>"Folha Mensal"</f>
        <v>Folha Mensal</v>
      </c>
      <c r="C655" t="str">
        <f>"Iranilda Azevedo Monteiro"</f>
        <v>Iranilda Azevedo Monteiro</v>
      </c>
      <c r="D655" t="str">
        <f>"PROP IDADE"</f>
        <v>PROP IDADE</v>
      </c>
      <c r="E655" t="str">
        <f t="shared" si="56"/>
        <v>Efetivo-Inativo I- RJUSM</v>
      </c>
      <c r="F655" t="str">
        <f>"R$ 1.100,00"</f>
        <v>R$ 1.100,00</v>
      </c>
      <c r="G655" t="str">
        <f>"R$ 1.100,00"</f>
        <v>R$ 1.100,00</v>
      </c>
      <c r="H655" t="str">
        <f t="shared" si="53"/>
        <v>R$ 0,00</v>
      </c>
      <c r="I655" t="str">
        <f>"R$ 1.100,00"</f>
        <v>R$ 1.100,00</v>
      </c>
      <c r="J655" t="str">
        <f>"R$ 384,15"</f>
        <v>R$ 384,15</v>
      </c>
      <c r="K655" t="str">
        <f>"R$ 715,85"</f>
        <v>R$ 715,85</v>
      </c>
    </row>
    <row r="656" spans="1:11" x14ac:dyDescent="0.25">
      <c r="A656" t="str">
        <f>"00027855 / 1"</f>
        <v>00027855 / 1</v>
      </c>
      <c r="B656" t="str">
        <f>"13° Salário Anual"</f>
        <v>13° Salário Anual</v>
      </c>
      <c r="C656" t="str">
        <f>"Irene da Conceicao Pereira"</f>
        <v>Irene da Conceicao Pereira</v>
      </c>
      <c r="D656" t="str">
        <f>"PROP IDADE"</f>
        <v>PROP IDADE</v>
      </c>
      <c r="E656" t="str">
        <f t="shared" si="56"/>
        <v>Efetivo-Inativo I- RJUSM</v>
      </c>
      <c r="F656" t="str">
        <f>"R$ 1.100,00"</f>
        <v>R$ 1.100,00</v>
      </c>
      <c r="G656" t="str">
        <f>"R$ 1.210,00"</f>
        <v>R$ 1.210,00</v>
      </c>
      <c r="H656" t="str">
        <f t="shared" si="53"/>
        <v>R$ 0,00</v>
      </c>
      <c r="I656" t="str">
        <f>"R$ 1.210,00"</f>
        <v>R$ 1.210,00</v>
      </c>
      <c r="J656" t="str">
        <f>"R$ 605,00"</f>
        <v>R$ 605,00</v>
      </c>
      <c r="K656" t="str">
        <f>"R$ 605,00"</f>
        <v>R$ 605,00</v>
      </c>
    </row>
    <row r="657" spans="1:11" x14ac:dyDescent="0.25">
      <c r="A657" t="str">
        <f>"00027855 / 1"</f>
        <v>00027855 / 1</v>
      </c>
      <c r="B657" t="str">
        <f>"Folha Mensal"</f>
        <v>Folha Mensal</v>
      </c>
      <c r="C657" t="str">
        <f>"Irene da Conceicao Pereira"</f>
        <v>Irene da Conceicao Pereira</v>
      </c>
      <c r="D657" t="str">
        <f>"PROP IDADE"</f>
        <v>PROP IDADE</v>
      </c>
      <c r="E657" t="str">
        <f t="shared" si="56"/>
        <v>Efetivo-Inativo I- RJUSM</v>
      </c>
      <c r="F657" t="str">
        <f>"R$ 1.100,00"</f>
        <v>R$ 1.100,00</v>
      </c>
      <c r="G657" t="str">
        <f>"R$ 1.210,00"</f>
        <v>R$ 1.210,00</v>
      </c>
      <c r="H657" t="str">
        <f t="shared" si="53"/>
        <v>R$ 0,00</v>
      </c>
      <c r="I657" t="str">
        <f>"R$ 1.210,00"</f>
        <v>R$ 1.210,00</v>
      </c>
      <c r="J657" t="str">
        <f>"R$ 0,00"</f>
        <v>R$ 0,00</v>
      </c>
      <c r="K657" t="str">
        <f>"R$ 1.210,00"</f>
        <v>R$ 1.210,00</v>
      </c>
    </row>
    <row r="658" spans="1:11" x14ac:dyDescent="0.25">
      <c r="A658" t="str">
        <f>"00051756 / 2"</f>
        <v>00051756 / 2</v>
      </c>
      <c r="B658" t="str">
        <f>"13° Salário Anual"</f>
        <v>13° Salário Anual</v>
      </c>
      <c r="C658" t="str">
        <f>"Irlanda Silva Santos"</f>
        <v>Irlanda Silva Santos</v>
      </c>
      <c r="D658" t="str">
        <f>"PROFESSOR NIVEL III"</f>
        <v>PROFESSOR NIVEL III</v>
      </c>
      <c r="E658" t="str">
        <f>"Efetivo-Inativos II-RJUSM"</f>
        <v>Efetivo-Inativos II-RJUSM</v>
      </c>
      <c r="F658" t="str">
        <f>"R$ 4.647,61"</f>
        <v>R$ 4.647,61</v>
      </c>
      <c r="G658" t="str">
        <f>"R$ 5.577,13"</f>
        <v>R$ 5.577,13</v>
      </c>
      <c r="H658" t="str">
        <f t="shared" si="53"/>
        <v>R$ 0,00</v>
      </c>
      <c r="I658" t="str">
        <f>"R$ 5.577,13"</f>
        <v>R$ 5.577,13</v>
      </c>
      <c r="J658" t="str">
        <f>"R$ 3.452,91"</f>
        <v>R$ 3.452,91</v>
      </c>
      <c r="K658" t="str">
        <f>"R$ 2.124,22"</f>
        <v>R$ 2.124,22</v>
      </c>
    </row>
    <row r="659" spans="1:11" x14ac:dyDescent="0.25">
      <c r="A659" t="str">
        <f>"00051756 / 2"</f>
        <v>00051756 / 2</v>
      </c>
      <c r="B659" t="str">
        <f>"Folha Mensal"</f>
        <v>Folha Mensal</v>
      </c>
      <c r="C659" t="str">
        <f>"Irlanda Silva Santos"</f>
        <v>Irlanda Silva Santos</v>
      </c>
      <c r="D659" t="str">
        <f>"PROFESSOR NIVEL III"</f>
        <v>PROFESSOR NIVEL III</v>
      </c>
      <c r="E659" t="str">
        <f>"Efetivo-Inativos II-RJUSM"</f>
        <v>Efetivo-Inativos II-RJUSM</v>
      </c>
      <c r="F659" t="str">
        <f>"R$ 4.647,61"</f>
        <v>R$ 4.647,61</v>
      </c>
      <c r="G659" t="str">
        <f>"R$ 5.577,13"</f>
        <v>R$ 5.577,13</v>
      </c>
      <c r="H659" t="str">
        <f t="shared" si="53"/>
        <v>R$ 0,00</v>
      </c>
      <c r="I659" t="str">
        <f>"R$ 5.577,13"</f>
        <v>R$ 5.577,13</v>
      </c>
      <c r="J659" t="str">
        <f>"R$ 2.364,33"</f>
        <v>R$ 2.364,33</v>
      </c>
      <c r="K659" t="str">
        <f>"R$ 3.212,80"</f>
        <v>R$ 3.212,80</v>
      </c>
    </row>
    <row r="660" spans="1:11" x14ac:dyDescent="0.25">
      <c r="A660" t="str">
        <f>"00002631 / 1"</f>
        <v>00002631 / 1</v>
      </c>
      <c r="B660" t="str">
        <f>"13° Salário Anual"</f>
        <v>13° Salário Anual</v>
      </c>
      <c r="C660" t="str">
        <f>"Isaura Baia dos Santos"</f>
        <v>Isaura Baia dos Santos</v>
      </c>
      <c r="D660" t="str">
        <f>"INT TEMP CONTRIBUICAO"</f>
        <v>INT TEMP CONTRIBUICAO</v>
      </c>
      <c r="E660" t="str">
        <f>"Efetivo-Inativos II-RJUSM"</f>
        <v>Efetivo-Inativos II-RJUSM</v>
      </c>
      <c r="F660" t="str">
        <f>"R$ 1.100,00"</f>
        <v>R$ 1.100,00</v>
      </c>
      <c r="G660" t="str">
        <f>"R$ 1.430,00"</f>
        <v>R$ 1.430,00</v>
      </c>
      <c r="H660" t="str">
        <f t="shared" si="53"/>
        <v>R$ 0,00</v>
      </c>
      <c r="I660" t="str">
        <f>"R$ 1.430,00"</f>
        <v>R$ 1.430,00</v>
      </c>
      <c r="J660" t="str">
        <f>"R$ 715,00"</f>
        <v>R$ 715,00</v>
      </c>
      <c r="K660" t="str">
        <f>"R$ 715,00"</f>
        <v>R$ 715,00</v>
      </c>
    </row>
    <row r="661" spans="1:11" x14ac:dyDescent="0.25">
      <c r="A661" t="str">
        <f>"00002631 / 1"</f>
        <v>00002631 / 1</v>
      </c>
      <c r="B661" t="str">
        <f>"Folha Mensal"</f>
        <v>Folha Mensal</v>
      </c>
      <c r="C661" t="str">
        <f>"Isaura Baia dos Santos"</f>
        <v>Isaura Baia dos Santos</v>
      </c>
      <c r="D661" t="str">
        <f>"INT TEMP CONTRIBUICAO"</f>
        <v>INT TEMP CONTRIBUICAO</v>
      </c>
      <c r="E661" t="str">
        <f>"Efetivo-Inativos II-RJUSM"</f>
        <v>Efetivo-Inativos II-RJUSM</v>
      </c>
      <c r="F661" t="str">
        <f>"R$ 1.100,00"</f>
        <v>R$ 1.100,00</v>
      </c>
      <c r="G661" t="str">
        <f>"R$ 1.430,00"</f>
        <v>R$ 1.430,00</v>
      </c>
      <c r="H661" t="str">
        <f t="shared" si="53"/>
        <v>R$ 0,00</v>
      </c>
      <c r="I661" t="str">
        <f>"R$ 1.430,00"</f>
        <v>R$ 1.430,00</v>
      </c>
      <c r="J661" t="str">
        <f>"R$ 365,40"</f>
        <v>R$ 365,40</v>
      </c>
      <c r="K661" t="str">
        <f>"R$ 1.064,60"</f>
        <v>R$ 1.064,60</v>
      </c>
    </row>
    <row r="662" spans="1:11" x14ac:dyDescent="0.25">
      <c r="A662" t="str">
        <f>"00053503 / 1"</f>
        <v>00053503 / 1</v>
      </c>
      <c r="B662" t="str">
        <f>"13° Salário Anual"</f>
        <v>13° Salário Anual</v>
      </c>
      <c r="C662" t="str">
        <f>"Itaci Vieira do Nascimento"</f>
        <v>Itaci Vieira do Nascimento</v>
      </c>
      <c r="D662" t="str">
        <f>"PROP COMPULSORIA"</f>
        <v>PROP COMPULSORIA</v>
      </c>
      <c r="E662" t="str">
        <f>"Efetivo-Inativo I- RJUSM"</f>
        <v>Efetivo-Inativo I- RJUSM</v>
      </c>
      <c r="F662" t="str">
        <f>"R$ 4.649,96"</f>
        <v>R$ 4.649,96</v>
      </c>
      <c r="G662" t="str">
        <f>"R$ 4.649,96"</f>
        <v>R$ 4.649,96</v>
      </c>
      <c r="H662" t="str">
        <f t="shared" si="53"/>
        <v>R$ 0,00</v>
      </c>
      <c r="I662" t="str">
        <f>"R$ 4.649,96"</f>
        <v>R$ 4.649,96</v>
      </c>
      <c r="J662" t="str">
        <f>"R$ 2.324,98"</f>
        <v>R$ 2.324,98</v>
      </c>
      <c r="K662" t="str">
        <f>"R$ 2.324,98"</f>
        <v>R$ 2.324,98</v>
      </c>
    </row>
    <row r="663" spans="1:11" x14ac:dyDescent="0.25">
      <c r="A663" t="str">
        <f>"00053503 / 1"</f>
        <v>00053503 / 1</v>
      </c>
      <c r="B663" t="str">
        <f>"Folha Mensal"</f>
        <v>Folha Mensal</v>
      </c>
      <c r="C663" t="str">
        <f>"Itaci Vieira do Nascimento"</f>
        <v>Itaci Vieira do Nascimento</v>
      </c>
      <c r="D663" t="str">
        <f>"PROP COMPULSORIA"</f>
        <v>PROP COMPULSORIA</v>
      </c>
      <c r="E663" t="str">
        <f>"Efetivo-Inativo I- RJUSM"</f>
        <v>Efetivo-Inativo I- RJUSM</v>
      </c>
      <c r="F663" t="str">
        <f>"R$ 4.649,96"</f>
        <v>R$ 4.649,96</v>
      </c>
      <c r="G663" t="str">
        <f>"R$ 4.649,96"</f>
        <v>R$ 4.649,96</v>
      </c>
      <c r="H663" t="str">
        <f t="shared" si="53"/>
        <v>R$ 0,00</v>
      </c>
      <c r="I663" t="str">
        <f>"R$ 4.649,96"</f>
        <v>R$ 4.649,96</v>
      </c>
      <c r="J663" t="str">
        <f>"R$ 1.174,01"</f>
        <v>R$ 1.174,01</v>
      </c>
      <c r="K663" t="str">
        <f>"R$ 3.475,95"</f>
        <v>R$ 3.475,95</v>
      </c>
    </row>
    <row r="664" spans="1:11" x14ac:dyDescent="0.25">
      <c r="A664" t="str">
        <f>"03640418 / 1"</f>
        <v>03640418 / 1</v>
      </c>
      <c r="B664" t="str">
        <f>"13° Salário Anual"</f>
        <v>13° Salário Anual</v>
      </c>
      <c r="C664" t="str">
        <f>"Ivan da Silva Moraes"</f>
        <v>Ivan da Silva Moraes</v>
      </c>
      <c r="D664" t="str">
        <f>"DAS 07"</f>
        <v>DAS 07</v>
      </c>
      <c r="E664" t="str">
        <f>"Comissionado"</f>
        <v>Comissionado</v>
      </c>
      <c r="F664" t="str">
        <f>"R$ 3.154,55"</f>
        <v>R$ 3.154,55</v>
      </c>
      <c r="G664" t="str">
        <f>"R$ 3.154,55"</f>
        <v>R$ 3.154,55</v>
      </c>
      <c r="H664" t="str">
        <f t="shared" si="53"/>
        <v>R$ 0,00</v>
      </c>
      <c r="I664" t="str">
        <f>"R$ 3.154,55"</f>
        <v>R$ 3.154,55</v>
      </c>
      <c r="J664" t="str">
        <f>"R$ 1.947,19"</f>
        <v>R$ 1.947,19</v>
      </c>
      <c r="K664" t="str">
        <f>"R$ 1.207,36"</f>
        <v>R$ 1.207,36</v>
      </c>
    </row>
    <row r="665" spans="1:11" x14ac:dyDescent="0.25">
      <c r="A665" t="str">
        <f>"03640418 / 1"</f>
        <v>03640418 / 1</v>
      </c>
      <c r="B665" t="str">
        <f>"Folha Mensal"</f>
        <v>Folha Mensal</v>
      </c>
      <c r="C665" t="str">
        <f>"Ivan da Silva Moraes"</f>
        <v>Ivan da Silva Moraes</v>
      </c>
      <c r="D665" t="str">
        <f>"DAS 07"</f>
        <v>DAS 07</v>
      </c>
      <c r="E665" t="str">
        <f>"Comissionado"</f>
        <v>Comissionado</v>
      </c>
      <c r="F665" t="str">
        <f>"R$ 3.154,55"</f>
        <v>R$ 3.154,55</v>
      </c>
      <c r="G665" t="str">
        <f>"R$ 3.154,55"</f>
        <v>R$ 3.154,55</v>
      </c>
      <c r="H665" t="str">
        <f t="shared" si="53"/>
        <v>R$ 0,00</v>
      </c>
      <c r="I665" t="str">
        <f>"R$ 3.154,55"</f>
        <v>R$ 3.154,55</v>
      </c>
      <c r="J665" t="str">
        <f>"R$ 369,92"</f>
        <v>R$ 369,92</v>
      </c>
      <c r="K665" t="str">
        <f>"R$ 2.784,63"</f>
        <v>R$ 2.784,63</v>
      </c>
    </row>
    <row r="666" spans="1:11" x14ac:dyDescent="0.25">
      <c r="A666" t="str">
        <f>"00002348 / 2"</f>
        <v>00002348 / 2</v>
      </c>
      <c r="B666" t="str">
        <f>"13° Salário Anual"</f>
        <v>13° Salário Anual</v>
      </c>
      <c r="C666" t="str">
        <f>"Ivanete de Campos Pereira"</f>
        <v>Ivanete de Campos Pereira</v>
      </c>
      <c r="D666" t="str">
        <f>"PROFESSOR"</f>
        <v>PROFESSOR</v>
      </c>
      <c r="E666" t="str">
        <f>"Efetivo-Inativo I- RJUSM"</f>
        <v>Efetivo-Inativo I- RJUSM</v>
      </c>
      <c r="F666" t="str">
        <f>"R$ 1.593,46"</f>
        <v>R$ 1.593,46</v>
      </c>
      <c r="G666" t="str">
        <f>"R$ 1.991,82"</f>
        <v>R$ 1.991,82</v>
      </c>
      <c r="H666" t="str">
        <f t="shared" ref="H666:H729" si="57">"R$ 0,00"</f>
        <v>R$ 0,00</v>
      </c>
      <c r="I666" t="str">
        <f>"R$ 1.991,82"</f>
        <v>R$ 1.991,82</v>
      </c>
      <c r="J666" t="str">
        <f>"R$ 995,91"</f>
        <v>R$ 995,91</v>
      </c>
      <c r="K666" t="str">
        <f>"R$ 995,91"</f>
        <v>R$ 995,91</v>
      </c>
    </row>
    <row r="667" spans="1:11" x14ac:dyDescent="0.25">
      <c r="A667" t="str">
        <f>"00002348 / 2"</f>
        <v>00002348 / 2</v>
      </c>
      <c r="B667" t="str">
        <f>"Folha Mensal"</f>
        <v>Folha Mensal</v>
      </c>
      <c r="C667" t="str">
        <f>"Ivanete de Campos Pereira"</f>
        <v>Ivanete de Campos Pereira</v>
      </c>
      <c r="D667" t="str">
        <f>"PROFESSOR"</f>
        <v>PROFESSOR</v>
      </c>
      <c r="E667" t="str">
        <f>"Efetivo-Inativo I- RJUSM"</f>
        <v>Efetivo-Inativo I- RJUSM</v>
      </c>
      <c r="F667" t="str">
        <f>"R$ 1.593,46"</f>
        <v>R$ 1.593,46</v>
      </c>
      <c r="G667" t="str">
        <f>"R$ 1.991,82"</f>
        <v>R$ 1.991,82</v>
      </c>
      <c r="H667" t="str">
        <f t="shared" si="57"/>
        <v>R$ 0,00</v>
      </c>
      <c r="I667" t="str">
        <f>"R$ 1.991,82"</f>
        <v>R$ 1.991,82</v>
      </c>
      <c r="J667" t="str">
        <f>"R$ 0,00"</f>
        <v>R$ 0,00</v>
      </c>
      <c r="K667" t="str">
        <f>"R$ 1.991,82"</f>
        <v>R$ 1.991,82</v>
      </c>
    </row>
    <row r="668" spans="1:11" x14ac:dyDescent="0.25">
      <c r="A668" t="str">
        <f>"00007080 / 1"</f>
        <v>00007080 / 1</v>
      </c>
      <c r="B668" t="str">
        <f>"13° Salário Anual"</f>
        <v>13° Salário Anual</v>
      </c>
      <c r="C668" t="str">
        <f>"Ivanete Lima e Silva"</f>
        <v>Ivanete Lima e Silva</v>
      </c>
      <c r="D668" t="str">
        <f>"PROFESSOR NIVEL II"</f>
        <v>PROFESSOR NIVEL II</v>
      </c>
      <c r="E668" t="str">
        <f>"Efetivo-Inativos II-RJUSM"</f>
        <v>Efetivo-Inativos II-RJUSM</v>
      </c>
      <c r="F668" t="str">
        <f>"R$ 5.736,47"</f>
        <v>R$ 5.736,47</v>
      </c>
      <c r="G668" t="str">
        <f>"R$ 7.457,41"</f>
        <v>R$ 7.457,41</v>
      </c>
      <c r="H668" t="str">
        <f t="shared" si="57"/>
        <v>R$ 0,00</v>
      </c>
      <c r="I668" t="str">
        <f>"R$ 7.457,41"</f>
        <v>R$ 7.457,41</v>
      </c>
      <c r="J668" t="str">
        <f>"R$ 4.995,65"</f>
        <v>R$ 4.995,65</v>
      </c>
      <c r="K668" t="str">
        <f>"R$ 2.461,76"</f>
        <v>R$ 2.461,76</v>
      </c>
    </row>
    <row r="669" spans="1:11" x14ac:dyDescent="0.25">
      <c r="A669" t="str">
        <f>"00007080 / 1"</f>
        <v>00007080 / 1</v>
      </c>
      <c r="B669" t="str">
        <f>"Folha Mensal"</f>
        <v>Folha Mensal</v>
      </c>
      <c r="C669" t="str">
        <f>"Ivanete Lima e Silva"</f>
        <v>Ivanete Lima e Silva</v>
      </c>
      <c r="D669" t="str">
        <f>"PROFESSOR NIVEL II"</f>
        <v>PROFESSOR NIVEL II</v>
      </c>
      <c r="E669" t="str">
        <f>"Efetivo-Inativos II-RJUSM"</f>
        <v>Efetivo-Inativos II-RJUSM</v>
      </c>
      <c r="F669" t="str">
        <f>"R$ 5.736,47"</f>
        <v>R$ 5.736,47</v>
      </c>
      <c r="G669" t="str">
        <f>"R$ 7.457,41"</f>
        <v>R$ 7.457,41</v>
      </c>
      <c r="H669" t="str">
        <f t="shared" si="57"/>
        <v>R$ 0,00</v>
      </c>
      <c r="I669" t="str">
        <f>"R$ 7.457,41"</f>
        <v>R$ 7.457,41</v>
      </c>
      <c r="J669" t="str">
        <f>"R$ 1.266,95"</f>
        <v>R$ 1.266,95</v>
      </c>
      <c r="K669" t="str">
        <f>"R$ 6.190,46"</f>
        <v>R$ 6.190,46</v>
      </c>
    </row>
    <row r="670" spans="1:11" x14ac:dyDescent="0.25">
      <c r="A670" t="str">
        <f>"00000027 / 1"</f>
        <v>00000027 / 1</v>
      </c>
      <c r="B670" t="str">
        <f>"13° Salário Anual"</f>
        <v>13° Salário Anual</v>
      </c>
      <c r="C670" t="str">
        <f>"Ivete Valente Pinheiro"</f>
        <v>Ivete Valente Pinheiro</v>
      </c>
      <c r="D670" t="str">
        <f>"PENSIONISTA"</f>
        <v>PENSIONISTA</v>
      </c>
      <c r="E670" t="str">
        <f>"Pensionista"</f>
        <v>Pensionista</v>
      </c>
      <c r="F670" t="str">
        <f>"R$ 6.567,00"</f>
        <v>R$ 6.567,00</v>
      </c>
      <c r="G670" t="str">
        <f>"R$ 6.895,35"</f>
        <v>R$ 6.895,35</v>
      </c>
      <c r="H670" t="str">
        <f t="shared" si="57"/>
        <v>R$ 0,00</v>
      </c>
      <c r="I670" t="str">
        <f>"R$ 6.895,35"</f>
        <v>R$ 6.895,35</v>
      </c>
      <c r="J670" t="str">
        <f>"R$ 6.842,37"</f>
        <v>R$ 6.842,37</v>
      </c>
      <c r="K670" t="str">
        <f>"R$ 52,98"</f>
        <v>R$ 52,98</v>
      </c>
    </row>
    <row r="671" spans="1:11" x14ac:dyDescent="0.25">
      <c r="A671" t="str">
        <f>"00000027 / 1"</f>
        <v>00000027 / 1</v>
      </c>
      <c r="B671" t="str">
        <f>"Folha Mensal"</f>
        <v>Folha Mensal</v>
      </c>
      <c r="C671" t="str">
        <f>"Ivete Valente Pinheiro"</f>
        <v>Ivete Valente Pinheiro</v>
      </c>
      <c r="D671" t="str">
        <f>"PENSIONISTA"</f>
        <v>PENSIONISTA</v>
      </c>
      <c r="E671" t="str">
        <f>"Pensionista"</f>
        <v>Pensionista</v>
      </c>
      <c r="F671" t="str">
        <f>"R$ 6.567,00"</f>
        <v>R$ 6.567,00</v>
      </c>
      <c r="G671" t="str">
        <f>"R$ 6.895,35"</f>
        <v>R$ 6.895,35</v>
      </c>
      <c r="H671" t="str">
        <f t="shared" si="57"/>
        <v>R$ 0,00</v>
      </c>
      <c r="I671" t="str">
        <f>"R$ 6.895,35"</f>
        <v>R$ 6.895,35</v>
      </c>
      <c r="J671" t="str">
        <f>"R$ 4.463,77"</f>
        <v>R$ 4.463,77</v>
      </c>
      <c r="K671" t="str">
        <f>"R$ 2.431,58"</f>
        <v>R$ 2.431,58</v>
      </c>
    </row>
    <row r="672" spans="1:11" x14ac:dyDescent="0.25">
      <c r="A672" t="str">
        <f>"00026077 / 1"</f>
        <v>00026077 / 1</v>
      </c>
      <c r="B672" t="str">
        <f>"13° Salário Anual"</f>
        <v>13° Salário Anual</v>
      </c>
      <c r="C672" t="str">
        <f>"Iza Maria Santa Rosa de Oliveira Donnantouni"</f>
        <v>Iza Maria Santa Rosa de Oliveira Donnantouni</v>
      </c>
      <c r="D672" t="str">
        <f>"PROP INVALIDEZ"</f>
        <v>PROP INVALIDEZ</v>
      </c>
      <c r="E672" t="str">
        <f>"Efetivo-Inativo I- RJUSM"</f>
        <v>Efetivo-Inativo I- RJUSM</v>
      </c>
      <c r="F672" t="str">
        <f>"R$ 1.016,38"</f>
        <v>R$ 1.016,38</v>
      </c>
      <c r="G672" t="str">
        <f>"R$ 1.100,00"</f>
        <v>R$ 1.100,00</v>
      </c>
      <c r="H672" t="str">
        <f t="shared" si="57"/>
        <v>R$ 0,00</v>
      </c>
      <c r="I672" t="str">
        <f>"R$ 1.100,00"</f>
        <v>R$ 1.100,00</v>
      </c>
      <c r="J672" t="str">
        <f>"R$ 550,00"</f>
        <v>R$ 550,00</v>
      </c>
      <c r="K672" t="str">
        <f>"R$ 550,00"</f>
        <v>R$ 550,00</v>
      </c>
    </row>
    <row r="673" spans="1:11" x14ac:dyDescent="0.25">
      <c r="A673" t="str">
        <f>"00026077 / 1"</f>
        <v>00026077 / 1</v>
      </c>
      <c r="B673" t="str">
        <f>"Folha Mensal"</f>
        <v>Folha Mensal</v>
      </c>
      <c r="C673" t="str">
        <f>"Iza Maria Santa Rosa de Oliveira Donnantouni"</f>
        <v>Iza Maria Santa Rosa de Oliveira Donnantouni</v>
      </c>
      <c r="D673" t="str">
        <f>"PROP INVALIDEZ"</f>
        <v>PROP INVALIDEZ</v>
      </c>
      <c r="E673" t="str">
        <f>"Efetivo-Inativo I- RJUSM"</f>
        <v>Efetivo-Inativo I- RJUSM</v>
      </c>
      <c r="F673" t="str">
        <f>"R$ 1.016,38"</f>
        <v>R$ 1.016,38</v>
      </c>
      <c r="G673" t="str">
        <f>"R$ 1.100,00"</f>
        <v>R$ 1.100,00</v>
      </c>
      <c r="H673" t="str">
        <f t="shared" si="57"/>
        <v>R$ 0,00</v>
      </c>
      <c r="I673" t="str">
        <f>"R$ 1.100,00"</f>
        <v>R$ 1.100,00</v>
      </c>
      <c r="J673" t="str">
        <f>"R$ 382,59"</f>
        <v>R$ 382,59</v>
      </c>
      <c r="K673" t="str">
        <f>"R$ 717,41"</f>
        <v>R$ 717,41</v>
      </c>
    </row>
    <row r="674" spans="1:11" x14ac:dyDescent="0.25">
      <c r="A674" t="str">
        <f>"00076619 / 1"</f>
        <v>00076619 / 1</v>
      </c>
      <c r="B674" t="str">
        <f>"13° Salário Anual"</f>
        <v>13° Salário Anual</v>
      </c>
      <c r="C674" t="str">
        <f>"Izabel do Nascimento Almeida"</f>
        <v>Izabel do Nascimento Almeida</v>
      </c>
      <c r="D674" t="str">
        <f>"PENSIONISTA"</f>
        <v>PENSIONISTA</v>
      </c>
      <c r="E674" t="str">
        <f>"Pensionista"</f>
        <v>Pensionista</v>
      </c>
      <c r="F674" t="str">
        <f>"R$ 1.100,00"</f>
        <v>R$ 1.100,00</v>
      </c>
      <c r="G674" t="str">
        <f>"R$ 1.265,00"</f>
        <v>R$ 1.265,00</v>
      </c>
      <c r="H674" t="str">
        <f t="shared" si="57"/>
        <v>R$ 0,00</v>
      </c>
      <c r="I674" t="str">
        <f>"R$ 1.265,00"</f>
        <v>R$ 1.265,00</v>
      </c>
      <c r="J674" t="str">
        <f>"R$ 632,50"</f>
        <v>R$ 632,50</v>
      </c>
      <c r="K674" t="str">
        <f>"R$ 632,50"</f>
        <v>R$ 632,50</v>
      </c>
    </row>
    <row r="675" spans="1:11" x14ac:dyDescent="0.25">
      <c r="A675" t="str">
        <f>"00076619 / 1"</f>
        <v>00076619 / 1</v>
      </c>
      <c r="B675" t="str">
        <f>"Folha Mensal"</f>
        <v>Folha Mensal</v>
      </c>
      <c r="C675" t="str">
        <f>"Izabel do Nascimento Almeida"</f>
        <v>Izabel do Nascimento Almeida</v>
      </c>
      <c r="D675" t="str">
        <f>"PENSIONISTA"</f>
        <v>PENSIONISTA</v>
      </c>
      <c r="E675" t="str">
        <f>"Pensionista"</f>
        <v>Pensionista</v>
      </c>
      <c r="F675" t="str">
        <f>"R$ 1.100,00"</f>
        <v>R$ 1.100,00</v>
      </c>
      <c r="G675" t="str">
        <f>"R$ 1.265,00"</f>
        <v>R$ 1.265,00</v>
      </c>
      <c r="H675" t="str">
        <f t="shared" si="57"/>
        <v>R$ 0,00</v>
      </c>
      <c r="I675" t="str">
        <f>"R$ 1.265,00"</f>
        <v>R$ 1.265,00</v>
      </c>
      <c r="J675" t="str">
        <f>"R$ 0,00"</f>
        <v>R$ 0,00</v>
      </c>
      <c r="K675" t="str">
        <f>"R$ 1.265,00"</f>
        <v>R$ 1.265,00</v>
      </c>
    </row>
    <row r="676" spans="1:11" x14ac:dyDescent="0.25">
      <c r="A676" t="str">
        <f>"00057665 / 1"</f>
        <v>00057665 / 1</v>
      </c>
      <c r="B676" t="str">
        <f>"13° Salário Anual"</f>
        <v>13° Salário Anual</v>
      </c>
      <c r="C676" t="str">
        <f>"Izabel dos Santos Araujo"</f>
        <v>Izabel dos Santos Araujo</v>
      </c>
      <c r="D676" t="str">
        <f>"PROFESSOR NIVEL I"</f>
        <v>PROFESSOR NIVEL I</v>
      </c>
      <c r="E676" t="str">
        <f>"Efetivo-Inativos II-RJUSM"</f>
        <v>Efetivo-Inativos II-RJUSM</v>
      </c>
      <c r="F676" t="str">
        <f>"R$ 2.071,51"</f>
        <v>R$ 2.071,51</v>
      </c>
      <c r="G676" t="str">
        <f>"R$ 2.382,23"</f>
        <v>R$ 2.382,23</v>
      </c>
      <c r="H676" t="str">
        <f t="shared" si="57"/>
        <v>R$ 0,00</v>
      </c>
      <c r="I676" t="str">
        <f>"R$ 2.382,23"</f>
        <v>R$ 2.382,23</v>
      </c>
      <c r="J676" t="str">
        <f>"R$ 1.191,11"</f>
        <v>R$ 1.191,11</v>
      </c>
      <c r="K676" t="str">
        <f>"R$ 1.191,12"</f>
        <v>R$ 1.191,12</v>
      </c>
    </row>
    <row r="677" spans="1:11" x14ac:dyDescent="0.25">
      <c r="A677" t="str">
        <f>"00057665 / 1"</f>
        <v>00057665 / 1</v>
      </c>
      <c r="B677" t="str">
        <f>"Folha Mensal"</f>
        <v>Folha Mensal</v>
      </c>
      <c r="C677" t="str">
        <f>"Izabel dos Santos Araujo"</f>
        <v>Izabel dos Santos Araujo</v>
      </c>
      <c r="D677" t="str">
        <f>"PROFESSOR NIVEL I"</f>
        <v>PROFESSOR NIVEL I</v>
      </c>
      <c r="E677" t="str">
        <f>"Efetivo-Inativos II-RJUSM"</f>
        <v>Efetivo-Inativos II-RJUSM</v>
      </c>
      <c r="F677" t="str">
        <f>"R$ 2.071,51"</f>
        <v>R$ 2.071,51</v>
      </c>
      <c r="G677" t="str">
        <f>"R$ 2.382,23"</f>
        <v>R$ 2.382,23</v>
      </c>
      <c r="H677" t="str">
        <f t="shared" si="57"/>
        <v>R$ 0,00</v>
      </c>
      <c r="I677" t="str">
        <f>"R$ 2.382,23"</f>
        <v>R$ 2.382,23</v>
      </c>
      <c r="J677" t="str">
        <f>"R$ 622,89"</f>
        <v>R$ 622,89</v>
      </c>
      <c r="K677" t="str">
        <f>"R$ 1.759,34"</f>
        <v>R$ 1.759,34</v>
      </c>
    </row>
    <row r="678" spans="1:11" x14ac:dyDescent="0.25">
      <c r="A678" t="str">
        <f>"00000370 / 1"</f>
        <v>00000370 / 1</v>
      </c>
      <c r="B678" t="str">
        <f>"13° Salário Anual"</f>
        <v>13° Salário Anual</v>
      </c>
      <c r="C678" t="str">
        <f>"Izabel Pereira da Rocha"</f>
        <v>Izabel Pereira da Rocha</v>
      </c>
      <c r="D678" t="str">
        <f>"PROFESSOR"</f>
        <v>PROFESSOR</v>
      </c>
      <c r="E678" t="str">
        <f>"Efetivo-Inativo I- RJUSM"</f>
        <v>Efetivo-Inativo I- RJUSM</v>
      </c>
      <c r="F678" t="str">
        <f>"R$ 5.736,46"</f>
        <v>R$ 5.736,46</v>
      </c>
      <c r="G678" t="str">
        <f>"R$ 7.457,39"</f>
        <v>R$ 7.457,39</v>
      </c>
      <c r="H678" t="str">
        <f t="shared" si="57"/>
        <v>R$ 0,00</v>
      </c>
      <c r="I678" t="str">
        <f>"R$ 7.457,39"</f>
        <v>R$ 7.457,39</v>
      </c>
      <c r="J678" t="str">
        <f>"R$ 4.472,04"</f>
        <v>R$ 4.472,04</v>
      </c>
      <c r="K678" t="str">
        <f>"R$ 2.985,35"</f>
        <v>R$ 2.985,35</v>
      </c>
    </row>
    <row r="679" spans="1:11" x14ac:dyDescent="0.25">
      <c r="A679" t="str">
        <f>"00000370 / 1"</f>
        <v>00000370 / 1</v>
      </c>
      <c r="B679" t="str">
        <f>"Folha Mensal"</f>
        <v>Folha Mensal</v>
      </c>
      <c r="C679" t="str">
        <f>"Izabel Pereira da Rocha"</f>
        <v>Izabel Pereira da Rocha</v>
      </c>
      <c r="D679" t="str">
        <f>"PROFESSOR"</f>
        <v>PROFESSOR</v>
      </c>
      <c r="E679" t="str">
        <f>"Efetivo-Inativo I- RJUSM"</f>
        <v>Efetivo-Inativo I- RJUSM</v>
      </c>
      <c r="F679" t="str">
        <f>"R$ 5.736,46"</f>
        <v>R$ 5.736,46</v>
      </c>
      <c r="G679" t="str">
        <f>"R$ 7.457,39"</f>
        <v>R$ 7.457,39</v>
      </c>
      <c r="H679" t="str">
        <f t="shared" si="57"/>
        <v>R$ 0,00</v>
      </c>
      <c r="I679" t="str">
        <f>"R$ 7.457,39"</f>
        <v>R$ 7.457,39</v>
      </c>
      <c r="J679" t="str">
        <f>"R$ 743,35"</f>
        <v>R$ 743,35</v>
      </c>
      <c r="K679" t="str">
        <f>"R$ 6.714,04"</f>
        <v>R$ 6.714,04</v>
      </c>
    </row>
    <row r="680" spans="1:11" x14ac:dyDescent="0.25">
      <c r="A680" t="str">
        <f>"03642038 / 1"</f>
        <v>03642038 / 1</v>
      </c>
      <c r="B680" t="str">
        <f>"13° Salário Anual"</f>
        <v>13° Salário Anual</v>
      </c>
      <c r="C680" t="str">
        <f>"Izabella Costa de Souza"</f>
        <v>Izabella Costa de Souza</v>
      </c>
      <c r="D680" t="str">
        <f>"DAS 07"</f>
        <v>DAS 07</v>
      </c>
      <c r="E680" t="str">
        <f>"Comissionado"</f>
        <v>Comissionado</v>
      </c>
      <c r="F680" t="str">
        <f>"R$ 3.154,55"</f>
        <v>R$ 3.154,55</v>
      </c>
      <c r="G680" t="str">
        <f>"R$ 262,87"</f>
        <v>R$ 262,87</v>
      </c>
      <c r="H680" t="str">
        <f t="shared" si="57"/>
        <v>R$ 0,00</v>
      </c>
      <c r="I680" t="str">
        <f>"R$ 262,87"</f>
        <v>R$ 262,87</v>
      </c>
      <c r="J680" t="str">
        <f>"R$ 19,71"</f>
        <v>R$ 19,71</v>
      </c>
      <c r="K680" t="str">
        <f>"R$ 243,16"</f>
        <v>R$ 243,16</v>
      </c>
    </row>
    <row r="681" spans="1:11" x14ac:dyDescent="0.25">
      <c r="A681" t="str">
        <f>"03642038 / 1"</f>
        <v>03642038 / 1</v>
      </c>
      <c r="B681" t="str">
        <f>"Folha Mensal"</f>
        <v>Folha Mensal</v>
      </c>
      <c r="C681" t="str">
        <f>"Izabella Costa de Souza"</f>
        <v>Izabella Costa de Souza</v>
      </c>
      <c r="D681" t="str">
        <f>"DAS 07"</f>
        <v>DAS 07</v>
      </c>
      <c r="E681" t="str">
        <f>"Comissionado"</f>
        <v>Comissionado</v>
      </c>
      <c r="F681" t="str">
        <f>"R$ 3.154,55"</f>
        <v>R$ 3.154,55</v>
      </c>
      <c r="G681" t="str">
        <f>"R$ 3.154,55"</f>
        <v>R$ 3.154,55</v>
      </c>
      <c r="H681" t="str">
        <f t="shared" si="57"/>
        <v>R$ 0,00</v>
      </c>
      <c r="I681" t="str">
        <f>"R$ 3.154,55"</f>
        <v>R$ 3.154,55</v>
      </c>
      <c r="J681" t="str">
        <f>"R$ 369,92"</f>
        <v>R$ 369,92</v>
      </c>
      <c r="K681" t="str">
        <f>"R$ 2.784,63"</f>
        <v>R$ 2.784,63</v>
      </c>
    </row>
    <row r="682" spans="1:11" x14ac:dyDescent="0.25">
      <c r="A682" t="str">
        <f>"00029084 / 1"</f>
        <v>00029084 / 1</v>
      </c>
      <c r="B682" t="str">
        <f>"13° Salário Anual"</f>
        <v>13° Salário Anual</v>
      </c>
      <c r="C682" t="str">
        <f>"Izaira de Oliveira Brito"</f>
        <v>Izaira de Oliveira Brito</v>
      </c>
      <c r="D682" t="str">
        <f>"INT TEMP SERVICO"</f>
        <v>INT TEMP SERVICO</v>
      </c>
      <c r="E682" t="str">
        <f>"Efetivo-Inativo I- RJUSM"</f>
        <v>Efetivo-Inativo I- RJUSM</v>
      </c>
      <c r="F682" t="str">
        <f>"R$ 1.100,00"</f>
        <v>R$ 1.100,00</v>
      </c>
      <c r="G682" t="str">
        <f>"R$ 1.430,00"</f>
        <v>R$ 1.430,00</v>
      </c>
      <c r="H682" t="str">
        <f t="shared" si="57"/>
        <v>R$ 0,00</v>
      </c>
      <c r="I682" t="str">
        <f>"R$ 1.430,00"</f>
        <v>R$ 1.430,00</v>
      </c>
      <c r="J682" t="str">
        <f>"R$ 715,00"</f>
        <v>R$ 715,00</v>
      </c>
      <c r="K682" t="str">
        <f>"R$ 715,00"</f>
        <v>R$ 715,00</v>
      </c>
    </row>
    <row r="683" spans="1:11" x14ac:dyDescent="0.25">
      <c r="A683" t="str">
        <f>"00029084 / 1"</f>
        <v>00029084 / 1</v>
      </c>
      <c r="B683" t="str">
        <f>"Folha Mensal"</f>
        <v>Folha Mensal</v>
      </c>
      <c r="C683" t="str">
        <f>"Izaira de Oliveira Brito"</f>
        <v>Izaira de Oliveira Brito</v>
      </c>
      <c r="D683" t="str">
        <f>"INT TEMP SERVICO"</f>
        <v>INT TEMP SERVICO</v>
      </c>
      <c r="E683" t="str">
        <f>"Efetivo-Inativo I- RJUSM"</f>
        <v>Efetivo-Inativo I- RJUSM</v>
      </c>
      <c r="F683" t="str">
        <f>"R$ 1.100,00"</f>
        <v>R$ 1.100,00</v>
      </c>
      <c r="G683" t="str">
        <f>"R$ 1.430,00"</f>
        <v>R$ 1.430,00</v>
      </c>
      <c r="H683" t="str">
        <f t="shared" si="57"/>
        <v>R$ 0,00</v>
      </c>
      <c r="I683" t="str">
        <f>"R$ 1.430,00"</f>
        <v>R$ 1.430,00</v>
      </c>
      <c r="J683" t="str">
        <f>"R$ 377,59"</f>
        <v>R$ 377,59</v>
      </c>
      <c r="K683" t="str">
        <f>"R$ 1.052,41"</f>
        <v>R$ 1.052,41</v>
      </c>
    </row>
    <row r="684" spans="1:11" x14ac:dyDescent="0.25">
      <c r="A684" t="str">
        <f>"00025747 / 1"</f>
        <v>00025747 / 1</v>
      </c>
      <c r="B684" t="str">
        <f>"13° Salário Anual"</f>
        <v>13° Salário Anual</v>
      </c>
      <c r="C684" t="str">
        <f>"Izaura Martins Siqueira"</f>
        <v>Izaura Martins Siqueira</v>
      </c>
      <c r="D684" t="str">
        <f>"PENSIONISTA"</f>
        <v>PENSIONISTA</v>
      </c>
      <c r="E684" t="str">
        <f>"Pensionista"</f>
        <v>Pensionista</v>
      </c>
      <c r="F684" t="str">
        <f>"R$ 1.100,00"</f>
        <v>R$ 1.100,00</v>
      </c>
      <c r="G684" t="str">
        <f>"R$ 1.100,00"</f>
        <v>R$ 1.100,00</v>
      </c>
      <c r="H684" t="str">
        <f t="shared" si="57"/>
        <v>R$ 0,00</v>
      </c>
      <c r="I684" t="str">
        <f>"R$ 1.100,00"</f>
        <v>R$ 1.100,00</v>
      </c>
      <c r="J684" t="str">
        <f>"R$ 550,00"</f>
        <v>R$ 550,00</v>
      </c>
      <c r="K684" t="str">
        <f>"R$ 550,00"</f>
        <v>R$ 550,00</v>
      </c>
    </row>
    <row r="685" spans="1:11" x14ac:dyDescent="0.25">
      <c r="A685" t="str">
        <f>"00025747 / 1"</f>
        <v>00025747 / 1</v>
      </c>
      <c r="B685" t="str">
        <f>"Folha Mensal"</f>
        <v>Folha Mensal</v>
      </c>
      <c r="C685" t="str">
        <f>"Izaura Martins Siqueira"</f>
        <v>Izaura Martins Siqueira</v>
      </c>
      <c r="D685" t="str">
        <f>"PENSIONISTA"</f>
        <v>PENSIONISTA</v>
      </c>
      <c r="E685" t="str">
        <f>"Pensionista"</f>
        <v>Pensionista</v>
      </c>
      <c r="F685" t="str">
        <f>"R$ 1.100,00"</f>
        <v>R$ 1.100,00</v>
      </c>
      <c r="G685" t="str">
        <f>"R$ 1.100,00"</f>
        <v>R$ 1.100,00</v>
      </c>
      <c r="H685" t="str">
        <f t="shared" si="57"/>
        <v>R$ 0,00</v>
      </c>
      <c r="I685" t="str">
        <f>"R$ 1.100,00"</f>
        <v>R$ 1.100,00</v>
      </c>
      <c r="J685" t="str">
        <f>"R$ 0,00"</f>
        <v>R$ 0,00</v>
      </c>
      <c r="K685" t="str">
        <f>"R$ 1.100,00"</f>
        <v>R$ 1.100,00</v>
      </c>
    </row>
    <row r="686" spans="1:11" x14ac:dyDescent="0.25">
      <c r="A686" t="str">
        <f>"00025747 / 2"</f>
        <v>00025747 / 2</v>
      </c>
      <c r="B686" t="str">
        <f>"13° Salário Anual"</f>
        <v>13° Salário Anual</v>
      </c>
      <c r="C686" t="str">
        <f>"Izaura Martins Siqueira"</f>
        <v>Izaura Martins Siqueira</v>
      </c>
      <c r="D686" t="str">
        <f t="shared" ref="D686:D697" si="58">"PROFESSOR"</f>
        <v>PROFESSOR</v>
      </c>
      <c r="E686" t="str">
        <f t="shared" ref="E686:E697" si="59">"Efetivo-Inativo I- RJUSM"</f>
        <v>Efetivo-Inativo I- RJUSM</v>
      </c>
      <c r="F686" t="str">
        <f>"R$ 1.593,46"</f>
        <v>R$ 1.593,46</v>
      </c>
      <c r="G686" t="str">
        <f>"R$ 1.991,82"</f>
        <v>R$ 1.991,82</v>
      </c>
      <c r="H686" t="str">
        <f t="shared" si="57"/>
        <v>R$ 0,00</v>
      </c>
      <c r="I686" t="str">
        <f>"R$ 1.991,82"</f>
        <v>R$ 1.991,82</v>
      </c>
      <c r="J686" t="str">
        <f>"R$ 995,91"</f>
        <v>R$ 995,91</v>
      </c>
      <c r="K686" t="str">
        <f>"R$ 995,91"</f>
        <v>R$ 995,91</v>
      </c>
    </row>
    <row r="687" spans="1:11" x14ac:dyDescent="0.25">
      <c r="A687" t="str">
        <f>"00025747 / 2"</f>
        <v>00025747 / 2</v>
      </c>
      <c r="B687" t="str">
        <f>"Folha Mensal"</f>
        <v>Folha Mensal</v>
      </c>
      <c r="C687" t="str">
        <f>"Izaura Martins Siqueira"</f>
        <v>Izaura Martins Siqueira</v>
      </c>
      <c r="D687" t="str">
        <f t="shared" si="58"/>
        <v>PROFESSOR</v>
      </c>
      <c r="E687" t="str">
        <f t="shared" si="59"/>
        <v>Efetivo-Inativo I- RJUSM</v>
      </c>
      <c r="F687" t="str">
        <f>"R$ 1.593,46"</f>
        <v>R$ 1.593,46</v>
      </c>
      <c r="G687" t="str">
        <f>"R$ 1.991,82"</f>
        <v>R$ 1.991,82</v>
      </c>
      <c r="H687" t="str">
        <f t="shared" si="57"/>
        <v>R$ 0,00</v>
      </c>
      <c r="I687" t="str">
        <f>"R$ 1.991,82"</f>
        <v>R$ 1.991,82</v>
      </c>
      <c r="J687" t="str">
        <f>"R$ 0,00"</f>
        <v>R$ 0,00</v>
      </c>
      <c r="K687" t="str">
        <f>"R$ 1.991,82"</f>
        <v>R$ 1.991,82</v>
      </c>
    </row>
    <row r="688" spans="1:11" x14ac:dyDescent="0.25">
      <c r="A688" t="str">
        <f>"00027880 / 1"</f>
        <v>00027880 / 1</v>
      </c>
      <c r="B688" t="str">
        <f>"13° Salário Anual"</f>
        <v>13° Salário Anual</v>
      </c>
      <c r="C688" t="str">
        <f>"Jacinete Silva da Rocha"</f>
        <v>Jacinete Silva da Rocha</v>
      </c>
      <c r="D688" t="str">
        <f t="shared" si="58"/>
        <v>PROFESSOR</v>
      </c>
      <c r="E688" t="str">
        <f t="shared" si="59"/>
        <v>Efetivo-Inativo I- RJUSM</v>
      </c>
      <c r="F688" t="str">
        <f>"R$ 5.417,81"</f>
        <v>R$ 5.417,81</v>
      </c>
      <c r="G688" t="str">
        <f>"R$ 6.772,26"</f>
        <v>R$ 6.772,26</v>
      </c>
      <c r="H688" t="str">
        <f t="shared" si="57"/>
        <v>R$ 0,00</v>
      </c>
      <c r="I688" t="str">
        <f>"R$ 6.772,26"</f>
        <v>R$ 6.772,26</v>
      </c>
      <c r="J688" t="str">
        <f>"R$ 4.395,12"</f>
        <v>R$ 4.395,12</v>
      </c>
      <c r="K688" t="str">
        <f>"R$ 2.377,14"</f>
        <v>R$ 2.377,14</v>
      </c>
    </row>
    <row r="689" spans="1:11" x14ac:dyDescent="0.25">
      <c r="A689" t="str">
        <f>"00027880 / 1"</f>
        <v>00027880 / 1</v>
      </c>
      <c r="B689" t="str">
        <f>"Folha Mensal"</f>
        <v>Folha Mensal</v>
      </c>
      <c r="C689" t="str">
        <f>"Jacinete Silva da Rocha"</f>
        <v>Jacinete Silva da Rocha</v>
      </c>
      <c r="D689" t="str">
        <f t="shared" si="58"/>
        <v>PROFESSOR</v>
      </c>
      <c r="E689" t="str">
        <f t="shared" si="59"/>
        <v>Efetivo-Inativo I- RJUSM</v>
      </c>
      <c r="F689" t="str">
        <f>"R$ 5.417,81"</f>
        <v>R$ 5.417,81</v>
      </c>
      <c r="G689" t="str">
        <f>"R$ 6.772,26"</f>
        <v>R$ 6.772,26</v>
      </c>
      <c r="H689" t="str">
        <f t="shared" si="57"/>
        <v>R$ 0,00</v>
      </c>
      <c r="I689" t="str">
        <f>"R$ 6.772,26"</f>
        <v>R$ 6.772,26</v>
      </c>
      <c r="J689" t="str">
        <f>"R$ 1.986,48"</f>
        <v>R$ 1.986,48</v>
      </c>
      <c r="K689" t="str">
        <f>"R$ 4.785,78"</f>
        <v>R$ 4.785,78</v>
      </c>
    </row>
    <row r="690" spans="1:11" x14ac:dyDescent="0.25">
      <c r="A690" t="str">
        <f>"00000361 / 1"</f>
        <v>00000361 / 1</v>
      </c>
      <c r="B690" t="str">
        <f>"13° Salário Anual"</f>
        <v>13° Salário Anual</v>
      </c>
      <c r="C690" t="str">
        <f>"Jacira Pantoja Lira Dias"</f>
        <v>Jacira Pantoja Lira Dias</v>
      </c>
      <c r="D690" t="str">
        <f t="shared" si="58"/>
        <v>PROFESSOR</v>
      </c>
      <c r="E690" t="str">
        <f t="shared" si="59"/>
        <v>Efetivo-Inativo I- RJUSM</v>
      </c>
      <c r="F690" t="str">
        <f>"R$ 1.593,46"</f>
        <v>R$ 1.593,46</v>
      </c>
      <c r="G690" t="str">
        <f>"R$ 1.991,82"</f>
        <v>R$ 1.991,82</v>
      </c>
      <c r="H690" t="str">
        <f t="shared" si="57"/>
        <v>R$ 0,00</v>
      </c>
      <c r="I690" t="str">
        <f>"R$ 1.991,82"</f>
        <v>R$ 1.991,82</v>
      </c>
      <c r="J690" t="str">
        <f>"R$ 995,91"</f>
        <v>R$ 995,91</v>
      </c>
      <c r="K690" t="str">
        <f>"R$ 995,91"</f>
        <v>R$ 995,91</v>
      </c>
    </row>
    <row r="691" spans="1:11" x14ac:dyDescent="0.25">
      <c r="A691" t="str">
        <f>"00000361 / 1"</f>
        <v>00000361 / 1</v>
      </c>
      <c r="B691" t="str">
        <f>"Folha Mensal"</f>
        <v>Folha Mensal</v>
      </c>
      <c r="C691" t="str">
        <f>"Jacira Pantoja Lira Dias"</f>
        <v>Jacira Pantoja Lira Dias</v>
      </c>
      <c r="D691" t="str">
        <f t="shared" si="58"/>
        <v>PROFESSOR</v>
      </c>
      <c r="E691" t="str">
        <f t="shared" si="59"/>
        <v>Efetivo-Inativo I- RJUSM</v>
      </c>
      <c r="F691" t="str">
        <f>"R$ 1.593,46"</f>
        <v>R$ 1.593,46</v>
      </c>
      <c r="G691" t="str">
        <f>"R$ 1.991,82"</f>
        <v>R$ 1.991,82</v>
      </c>
      <c r="H691" t="str">
        <f t="shared" si="57"/>
        <v>R$ 0,00</v>
      </c>
      <c r="I691" t="str">
        <f>"R$ 1.991,82"</f>
        <v>R$ 1.991,82</v>
      </c>
      <c r="J691" t="str">
        <f>"R$ 695,61"</f>
        <v>R$ 695,61</v>
      </c>
      <c r="K691" t="str">
        <f>"R$ 1.296,21"</f>
        <v>R$ 1.296,21</v>
      </c>
    </row>
    <row r="692" spans="1:11" x14ac:dyDescent="0.25">
      <c r="A692" t="str">
        <f>"00000051 / 1"</f>
        <v>00000051 / 1</v>
      </c>
      <c r="B692" t="str">
        <f>"13° Salário Anual"</f>
        <v>13° Salário Anual</v>
      </c>
      <c r="C692" t="str">
        <f>"Jacy de Freitas Pereira"</f>
        <v>Jacy de Freitas Pereira</v>
      </c>
      <c r="D692" t="str">
        <f t="shared" si="58"/>
        <v>PROFESSOR</v>
      </c>
      <c r="E692" t="str">
        <f t="shared" si="59"/>
        <v>Efetivo-Inativo I- RJUSM</v>
      </c>
      <c r="F692" t="str">
        <f>"R$ 2.230,85"</f>
        <v>R$ 2.230,85</v>
      </c>
      <c r="G692" t="str">
        <f>"R$ 4.015,52"</f>
        <v>R$ 4.015,52</v>
      </c>
      <c r="H692" t="str">
        <f t="shared" si="57"/>
        <v>R$ 0,00</v>
      </c>
      <c r="I692" t="str">
        <f>"R$ 4.015,52"</f>
        <v>R$ 4.015,52</v>
      </c>
      <c r="J692" t="str">
        <f>"R$ 2.009,10"</f>
        <v>R$ 2.009,10</v>
      </c>
      <c r="K692" t="str">
        <f>"R$ 2.006,42"</f>
        <v>R$ 2.006,42</v>
      </c>
    </row>
    <row r="693" spans="1:11" x14ac:dyDescent="0.25">
      <c r="A693" t="str">
        <f>"00000051 / 1"</f>
        <v>00000051 / 1</v>
      </c>
      <c r="B693" t="str">
        <f>"Folha Mensal"</f>
        <v>Folha Mensal</v>
      </c>
      <c r="C693" t="str">
        <f>"Jacy de Freitas Pereira"</f>
        <v>Jacy de Freitas Pereira</v>
      </c>
      <c r="D693" t="str">
        <f t="shared" si="58"/>
        <v>PROFESSOR</v>
      </c>
      <c r="E693" t="str">
        <f t="shared" si="59"/>
        <v>Efetivo-Inativo I- RJUSM</v>
      </c>
      <c r="F693" t="str">
        <f>"R$ 2.230,85"</f>
        <v>R$ 2.230,85</v>
      </c>
      <c r="G693" t="str">
        <f>"R$ 4.015,52"</f>
        <v>R$ 4.015,52</v>
      </c>
      <c r="H693" t="str">
        <f t="shared" si="57"/>
        <v>R$ 0,00</v>
      </c>
      <c r="I693" t="str">
        <f>"R$ 4.015,52"</f>
        <v>R$ 4.015,52</v>
      </c>
      <c r="J693" t="str">
        <f>"R$ 1,34"</f>
        <v>R$ 1,34</v>
      </c>
      <c r="K693" t="str">
        <f>"R$ 4.014,18"</f>
        <v>R$ 4.014,18</v>
      </c>
    </row>
    <row r="694" spans="1:11" x14ac:dyDescent="0.25">
      <c r="A694" t="str">
        <f>"00001970 / 1"</f>
        <v>00001970 / 1</v>
      </c>
      <c r="B694" t="str">
        <f>"13° Salário Anual"</f>
        <v>13° Salário Anual</v>
      </c>
      <c r="C694" t="str">
        <f>"Jandira Barros de Lima"</f>
        <v>Jandira Barros de Lima</v>
      </c>
      <c r="D694" t="str">
        <f t="shared" si="58"/>
        <v>PROFESSOR</v>
      </c>
      <c r="E694" t="str">
        <f t="shared" si="59"/>
        <v>Efetivo-Inativo I- RJUSM</v>
      </c>
      <c r="F694" t="str">
        <f>"R$ 1.593,46"</f>
        <v>R$ 1.593,46</v>
      </c>
      <c r="G694" t="str">
        <f>"R$ 2.071,49"</f>
        <v>R$ 2.071,49</v>
      </c>
      <c r="H694" t="str">
        <f t="shared" si="57"/>
        <v>R$ 0,00</v>
      </c>
      <c r="I694" t="str">
        <f>"R$ 2.071,49"</f>
        <v>R$ 2.071,49</v>
      </c>
      <c r="J694" t="str">
        <f>"R$ 1.035,74"</f>
        <v>R$ 1.035,74</v>
      </c>
      <c r="K694" t="str">
        <f>"R$ 1.035,75"</f>
        <v>R$ 1.035,75</v>
      </c>
    </row>
    <row r="695" spans="1:11" x14ac:dyDescent="0.25">
      <c r="A695" t="str">
        <f>"00001970 / 1"</f>
        <v>00001970 / 1</v>
      </c>
      <c r="B695" t="str">
        <f>"Folha Mensal"</f>
        <v>Folha Mensal</v>
      </c>
      <c r="C695" t="str">
        <f>"Jandira Barros de Lima"</f>
        <v>Jandira Barros de Lima</v>
      </c>
      <c r="D695" t="str">
        <f t="shared" si="58"/>
        <v>PROFESSOR</v>
      </c>
      <c r="E695" t="str">
        <f t="shared" si="59"/>
        <v>Efetivo-Inativo I- RJUSM</v>
      </c>
      <c r="F695" t="str">
        <f>"R$ 1.593,46"</f>
        <v>R$ 1.593,46</v>
      </c>
      <c r="G695" t="str">
        <f>"R$ 2.071,49"</f>
        <v>R$ 2.071,49</v>
      </c>
      <c r="H695" t="str">
        <f t="shared" si="57"/>
        <v>R$ 0,00</v>
      </c>
      <c r="I695" t="str">
        <f>"R$ 2.071,49"</f>
        <v>R$ 2.071,49</v>
      </c>
      <c r="J695" t="str">
        <f>"R$ 0,00"</f>
        <v>R$ 0,00</v>
      </c>
      <c r="K695" t="str">
        <f>"R$ 2.071,49"</f>
        <v>R$ 2.071,49</v>
      </c>
    </row>
    <row r="696" spans="1:11" x14ac:dyDescent="0.25">
      <c r="A696" t="str">
        <f>"00007048 / 1"</f>
        <v>00007048 / 1</v>
      </c>
      <c r="B696" t="str">
        <f>"13° Salário Anual"</f>
        <v>13° Salário Anual</v>
      </c>
      <c r="C696" t="str">
        <f>"Janete Canelas Peres"</f>
        <v>Janete Canelas Peres</v>
      </c>
      <c r="D696" t="str">
        <f t="shared" si="58"/>
        <v>PROFESSOR</v>
      </c>
      <c r="E696" t="str">
        <f t="shared" si="59"/>
        <v>Efetivo-Inativo I- RJUSM</v>
      </c>
      <c r="F696" t="str">
        <f>"R$ 1.593,46"</f>
        <v>R$ 1.593,46</v>
      </c>
      <c r="G696" t="str">
        <f>"R$ 1.991,82"</f>
        <v>R$ 1.991,82</v>
      </c>
      <c r="H696" t="str">
        <f t="shared" si="57"/>
        <v>R$ 0,00</v>
      </c>
      <c r="I696" t="str">
        <f>"R$ 1.991,82"</f>
        <v>R$ 1.991,82</v>
      </c>
      <c r="J696" t="str">
        <f>"R$ 1.002,49"</f>
        <v>R$ 1.002,49</v>
      </c>
      <c r="K696" t="str">
        <f>"R$ 989,33"</f>
        <v>R$ 989,33</v>
      </c>
    </row>
    <row r="697" spans="1:11" x14ac:dyDescent="0.25">
      <c r="A697" t="str">
        <f>"00007048 / 1"</f>
        <v>00007048 / 1</v>
      </c>
      <c r="B697" t="str">
        <f>"Folha Mensal"</f>
        <v>Folha Mensal</v>
      </c>
      <c r="C697" t="str">
        <f>"Janete Canelas Peres"</f>
        <v>Janete Canelas Peres</v>
      </c>
      <c r="D697" t="str">
        <f t="shared" si="58"/>
        <v>PROFESSOR</v>
      </c>
      <c r="E697" t="str">
        <f t="shared" si="59"/>
        <v>Efetivo-Inativo I- RJUSM</v>
      </c>
      <c r="F697" t="str">
        <f>"R$ 1.593,46"</f>
        <v>R$ 1.593,46</v>
      </c>
      <c r="G697" t="str">
        <f>"R$ 1.991,82"</f>
        <v>R$ 1.991,82</v>
      </c>
      <c r="H697" t="str">
        <f t="shared" si="57"/>
        <v>R$ 0,00</v>
      </c>
      <c r="I697" t="str">
        <f>"R$ 1.991,82"</f>
        <v>R$ 1.991,82</v>
      </c>
      <c r="J697" t="str">
        <f>"R$ 560,61"</f>
        <v>R$ 560,61</v>
      </c>
      <c r="K697" t="str">
        <f>"R$ 1.431,21"</f>
        <v>R$ 1.431,21</v>
      </c>
    </row>
    <row r="698" spans="1:11" x14ac:dyDescent="0.25">
      <c r="A698" t="str">
        <f>"00069841 / 1"</f>
        <v>00069841 / 1</v>
      </c>
      <c r="B698" t="str">
        <f>"13° Salário Anual"</f>
        <v>13° Salário Anual</v>
      </c>
      <c r="C698" t="str">
        <f>"Janete de Almeida Bastos"</f>
        <v>Janete de Almeida Bastos</v>
      </c>
      <c r="D698" t="str">
        <f>"AUXILIAR MUNICIPAL"</f>
        <v>AUXILIAR MUNICIPAL</v>
      </c>
      <c r="E698" t="str">
        <f>"Efetivo-Inativos II-RJUSM"</f>
        <v>Efetivo-Inativos II-RJUSM</v>
      </c>
      <c r="F698" t="str">
        <f>"R$ 1.100,00"</f>
        <v>R$ 1.100,00</v>
      </c>
      <c r="G698" t="str">
        <f>"R$ 1.430,00"</f>
        <v>R$ 1.430,00</v>
      </c>
      <c r="H698" t="str">
        <f t="shared" si="57"/>
        <v>R$ 0,00</v>
      </c>
      <c r="I698" t="str">
        <f>"R$ 1.430,00"</f>
        <v>R$ 1.430,00</v>
      </c>
      <c r="J698" t="str">
        <f>"R$ 715,00"</f>
        <v>R$ 715,00</v>
      </c>
      <c r="K698" t="str">
        <f>"R$ 715,00"</f>
        <v>R$ 715,00</v>
      </c>
    </row>
    <row r="699" spans="1:11" x14ac:dyDescent="0.25">
      <c r="A699" t="str">
        <f>"00069841 / 1"</f>
        <v>00069841 / 1</v>
      </c>
      <c r="B699" t="str">
        <f>"Folha Mensal"</f>
        <v>Folha Mensal</v>
      </c>
      <c r="C699" t="str">
        <f>"Janete de Almeida Bastos"</f>
        <v>Janete de Almeida Bastos</v>
      </c>
      <c r="D699" t="str">
        <f>"AUXILIAR MUNICIPAL"</f>
        <v>AUXILIAR MUNICIPAL</v>
      </c>
      <c r="E699" t="str">
        <f>"Efetivo-Inativos II-RJUSM"</f>
        <v>Efetivo-Inativos II-RJUSM</v>
      </c>
      <c r="F699" t="str">
        <f>"R$ 1.100,00"</f>
        <v>R$ 1.100,00</v>
      </c>
      <c r="G699" t="str">
        <f>"R$ 1.430,00"</f>
        <v>R$ 1.430,00</v>
      </c>
      <c r="H699" t="str">
        <f t="shared" si="57"/>
        <v>R$ 0,00</v>
      </c>
      <c r="I699" t="str">
        <f>"R$ 1.430,00"</f>
        <v>R$ 1.430,00</v>
      </c>
      <c r="J699" t="str">
        <f>"R$ 0,00"</f>
        <v>R$ 0,00</v>
      </c>
      <c r="K699" t="str">
        <f>"R$ 1.430,00"</f>
        <v>R$ 1.430,00</v>
      </c>
    </row>
    <row r="700" spans="1:11" x14ac:dyDescent="0.25">
      <c r="A700" t="str">
        <f>"00023639 / 1"</f>
        <v>00023639 / 1</v>
      </c>
      <c r="B700" t="str">
        <f>"13° Salário Anual"</f>
        <v>13° Salário Anual</v>
      </c>
      <c r="C700" t="str">
        <f>"Janira Lira de Santana"</f>
        <v>Janira Lira de Santana</v>
      </c>
      <c r="D700" t="str">
        <f>"PROFESSOR"</f>
        <v>PROFESSOR</v>
      </c>
      <c r="E700" t="str">
        <f>"Efetivo-Inativo I- RJUSM"</f>
        <v>Efetivo-Inativo I- RJUSM</v>
      </c>
      <c r="F700" t="str">
        <f>"R$ 1.593,46"</f>
        <v>R$ 1.593,46</v>
      </c>
      <c r="G700" t="str">
        <f>"R$ 1.991,82"</f>
        <v>R$ 1.991,82</v>
      </c>
      <c r="H700" t="str">
        <f t="shared" si="57"/>
        <v>R$ 0,00</v>
      </c>
      <c r="I700" t="str">
        <f>"R$ 1.991,82"</f>
        <v>R$ 1.991,82</v>
      </c>
      <c r="J700" t="str">
        <f>"R$ 995,91"</f>
        <v>R$ 995,91</v>
      </c>
      <c r="K700" t="str">
        <f>"R$ 995,91"</f>
        <v>R$ 995,91</v>
      </c>
    </row>
    <row r="701" spans="1:11" x14ac:dyDescent="0.25">
      <c r="A701" t="str">
        <f>"00023639 / 1"</f>
        <v>00023639 / 1</v>
      </c>
      <c r="B701" t="str">
        <f>"Folha Mensal"</f>
        <v>Folha Mensal</v>
      </c>
      <c r="C701" t="str">
        <f>"Janira Lira de Santana"</f>
        <v>Janira Lira de Santana</v>
      </c>
      <c r="D701" t="str">
        <f>"PROFESSOR"</f>
        <v>PROFESSOR</v>
      </c>
      <c r="E701" t="str">
        <f>"Efetivo-Inativo I- RJUSM"</f>
        <v>Efetivo-Inativo I- RJUSM</v>
      </c>
      <c r="F701" t="str">
        <f>"R$ 1.593,46"</f>
        <v>R$ 1.593,46</v>
      </c>
      <c r="G701" t="str">
        <f>"R$ 1.991,82"</f>
        <v>R$ 1.991,82</v>
      </c>
      <c r="H701" t="str">
        <f t="shared" si="57"/>
        <v>R$ 0,00</v>
      </c>
      <c r="I701" t="str">
        <f>"R$ 1.991,82"</f>
        <v>R$ 1.991,82</v>
      </c>
      <c r="J701" t="str">
        <f>"R$ 590,79"</f>
        <v>R$ 590,79</v>
      </c>
      <c r="K701" t="str">
        <f>"R$ 1.401,03"</f>
        <v>R$ 1.401,03</v>
      </c>
    </row>
    <row r="702" spans="1:11" x14ac:dyDescent="0.25">
      <c r="A702" t="str">
        <f>"00023175 / 1"</f>
        <v>00023175 / 1</v>
      </c>
      <c r="B702" t="str">
        <f>"13° Salário Anual"</f>
        <v>13° Salário Anual</v>
      </c>
      <c r="C702" t="str">
        <f>"Jeannilce Maria Sousa Araujo"</f>
        <v>Jeannilce Maria Sousa Araujo</v>
      </c>
      <c r="D702" t="str">
        <f>"PROFESSOR"</f>
        <v>PROFESSOR</v>
      </c>
      <c r="E702" t="str">
        <f>"Efetivo-Inativo I- RJUSM"</f>
        <v>Efetivo-Inativo I- RJUSM</v>
      </c>
      <c r="F702" t="str">
        <f>"R$ 2.071,51"</f>
        <v>R$ 2.071,51</v>
      </c>
      <c r="G702" t="str">
        <f>"R$ 2.589,38"</f>
        <v>R$ 2.589,38</v>
      </c>
      <c r="H702" t="str">
        <f t="shared" si="57"/>
        <v>R$ 0,00</v>
      </c>
      <c r="I702" t="str">
        <f>"R$ 2.589,38"</f>
        <v>R$ 2.589,38</v>
      </c>
      <c r="J702" t="str">
        <f>"R$ 1.294,69"</f>
        <v>R$ 1.294,69</v>
      </c>
      <c r="K702" t="str">
        <f>"R$ 1.294,69"</f>
        <v>R$ 1.294,69</v>
      </c>
    </row>
    <row r="703" spans="1:11" x14ac:dyDescent="0.25">
      <c r="A703" t="str">
        <f>"00023175 / 1"</f>
        <v>00023175 / 1</v>
      </c>
      <c r="B703" t="str">
        <f>"Folha Mensal"</f>
        <v>Folha Mensal</v>
      </c>
      <c r="C703" t="str">
        <f>"Jeannilce Maria Sousa Araujo"</f>
        <v>Jeannilce Maria Sousa Araujo</v>
      </c>
      <c r="D703" t="str">
        <f>"PROFESSOR"</f>
        <v>PROFESSOR</v>
      </c>
      <c r="E703" t="str">
        <f>"Efetivo-Inativo I- RJUSM"</f>
        <v>Efetivo-Inativo I- RJUSM</v>
      </c>
      <c r="F703" t="str">
        <f>"R$ 2.071,51"</f>
        <v>R$ 2.071,51</v>
      </c>
      <c r="G703" t="str">
        <f>"R$ 2.589,38"</f>
        <v>R$ 2.589,38</v>
      </c>
      <c r="H703" t="str">
        <f t="shared" si="57"/>
        <v>R$ 0,00</v>
      </c>
      <c r="I703" t="str">
        <f>"R$ 2.589,38"</f>
        <v>R$ 2.589,38</v>
      </c>
      <c r="J703" t="str">
        <f>"R$ 0,00"</f>
        <v>R$ 0,00</v>
      </c>
      <c r="K703" t="str">
        <f>"R$ 2.589,38"</f>
        <v>R$ 2.589,38</v>
      </c>
    </row>
    <row r="704" spans="1:11" x14ac:dyDescent="0.25">
      <c r="A704" t="str">
        <f>"03640310 / 3"</f>
        <v>03640310 / 3</v>
      </c>
      <c r="B704" t="str">
        <f>"13° Salário Anual"</f>
        <v>13° Salário Anual</v>
      </c>
      <c r="C704" t="str">
        <f>"Jefferson da Silva Fernandes"</f>
        <v>Jefferson da Silva Fernandes</v>
      </c>
      <c r="D704" t="str">
        <f>"TECNICO MUNICIPAL"</f>
        <v>TECNICO MUNICIPAL</v>
      </c>
      <c r="E704" t="str">
        <f>"Efetivo-Inativos II-RJUSM"</f>
        <v>Efetivo-Inativos II-RJUSM</v>
      </c>
      <c r="F704" t="str">
        <f>"R$ 1.067,33"</f>
        <v>R$ 1.067,33</v>
      </c>
      <c r="G704" t="str">
        <f>"R$ 1.120,69"</f>
        <v>R$ 1.120,69</v>
      </c>
      <c r="H704" t="str">
        <f t="shared" si="57"/>
        <v>R$ 0,00</v>
      </c>
      <c r="I704" t="str">
        <f>"R$ 1.120,69"</f>
        <v>R$ 1.120,69</v>
      </c>
      <c r="J704" t="str">
        <f>"R$ 560,34"</f>
        <v>R$ 560,34</v>
      </c>
      <c r="K704" t="str">
        <f>"R$ 560,35"</f>
        <v>R$ 560,35</v>
      </c>
    </row>
    <row r="705" spans="1:11" x14ac:dyDescent="0.25">
      <c r="A705" t="str">
        <f>"03640310 / 3"</f>
        <v>03640310 / 3</v>
      </c>
      <c r="B705" t="str">
        <f>"Folha Mensal"</f>
        <v>Folha Mensal</v>
      </c>
      <c r="C705" t="str">
        <f>"Jefferson da Silva Fernandes"</f>
        <v>Jefferson da Silva Fernandes</v>
      </c>
      <c r="D705" t="str">
        <f>"TECNICO MUNICIPAL"</f>
        <v>TECNICO MUNICIPAL</v>
      </c>
      <c r="E705" t="str">
        <f>"Efetivo-Inativos II-RJUSM"</f>
        <v>Efetivo-Inativos II-RJUSM</v>
      </c>
      <c r="F705" t="str">
        <f>"R$ 1.067,33"</f>
        <v>R$ 1.067,33</v>
      </c>
      <c r="G705" t="str">
        <f>"R$ 1.120,69"</f>
        <v>R$ 1.120,69</v>
      </c>
      <c r="H705" t="str">
        <f t="shared" si="57"/>
        <v>R$ 0,00</v>
      </c>
      <c r="I705" t="str">
        <f>"R$ 1.120,69"</f>
        <v>R$ 1.120,69</v>
      </c>
      <c r="J705" t="str">
        <f>"R$ 0,00"</f>
        <v>R$ 0,00</v>
      </c>
      <c r="K705" t="str">
        <f>"R$ 1.120,69"</f>
        <v>R$ 1.120,69</v>
      </c>
    </row>
    <row r="706" spans="1:11" x14ac:dyDescent="0.25">
      <c r="A706" t="str">
        <f>"00023736 / 1"</f>
        <v>00023736 / 1</v>
      </c>
      <c r="B706" t="str">
        <f>"13° Salário Anual"</f>
        <v>13° Salário Anual</v>
      </c>
      <c r="C706" t="str">
        <f>"Joana Darc Barbosa Ferreira"</f>
        <v>Joana Darc Barbosa Ferreira</v>
      </c>
      <c r="D706" t="str">
        <f>"PROFESSOR"</f>
        <v>PROFESSOR</v>
      </c>
      <c r="E706" t="str">
        <f>"Efetivo-Inativo I- RJUSM"</f>
        <v>Efetivo-Inativo I- RJUSM</v>
      </c>
      <c r="F706" t="str">
        <f>"R$ 1.593,46"</f>
        <v>R$ 1.593,46</v>
      </c>
      <c r="G706" t="str">
        <f>"R$ 1.991,82"</f>
        <v>R$ 1.991,82</v>
      </c>
      <c r="H706" t="str">
        <f t="shared" si="57"/>
        <v>R$ 0,00</v>
      </c>
      <c r="I706" t="str">
        <f>"R$ 1.991,82"</f>
        <v>R$ 1.991,82</v>
      </c>
      <c r="J706" t="str">
        <f>"R$ 1.002,49"</f>
        <v>R$ 1.002,49</v>
      </c>
      <c r="K706" t="str">
        <f>"R$ 989,33"</f>
        <v>R$ 989,33</v>
      </c>
    </row>
    <row r="707" spans="1:11" x14ac:dyDescent="0.25">
      <c r="A707" t="str">
        <f>"00023736 / 1"</f>
        <v>00023736 / 1</v>
      </c>
      <c r="B707" t="str">
        <f>"Folha Mensal"</f>
        <v>Folha Mensal</v>
      </c>
      <c r="C707" t="str">
        <f>"Joana Darc Barbosa Ferreira"</f>
        <v>Joana Darc Barbosa Ferreira</v>
      </c>
      <c r="D707" t="str">
        <f>"PROFESSOR"</f>
        <v>PROFESSOR</v>
      </c>
      <c r="E707" t="str">
        <f>"Efetivo-Inativo I- RJUSM"</f>
        <v>Efetivo-Inativo I- RJUSM</v>
      </c>
      <c r="F707" t="str">
        <f>"R$ 1.593,46"</f>
        <v>R$ 1.593,46</v>
      </c>
      <c r="G707" t="str">
        <f>"R$ 1.991,82"</f>
        <v>R$ 1.991,82</v>
      </c>
      <c r="H707" t="str">
        <f t="shared" si="57"/>
        <v>R$ 0,00</v>
      </c>
      <c r="I707" t="str">
        <f>"R$ 1.991,82"</f>
        <v>R$ 1.991,82</v>
      </c>
      <c r="J707" t="str">
        <f>"R$ 531,22"</f>
        <v>R$ 531,22</v>
      </c>
      <c r="K707" t="str">
        <f>"R$ 1.460,60"</f>
        <v>R$ 1.460,60</v>
      </c>
    </row>
    <row r="708" spans="1:11" x14ac:dyDescent="0.25">
      <c r="A708" t="str">
        <f>"00053007 / 2"</f>
        <v>00053007 / 2</v>
      </c>
      <c r="B708" t="str">
        <f>"13° Salário Anual"</f>
        <v>13° Salário Anual</v>
      </c>
      <c r="C708" t="str">
        <f>"Joana Darc Gomes Picanco"</f>
        <v>Joana Darc Gomes Picanco</v>
      </c>
      <c r="D708" t="str">
        <f>"PROFESSOR NIVEL II"</f>
        <v>PROFESSOR NIVEL II</v>
      </c>
      <c r="E708" t="str">
        <f>"Efetivo-Inativos II-RJUSM"</f>
        <v>Efetivo-Inativos II-RJUSM</v>
      </c>
      <c r="F708" t="str">
        <f>"R$ 5.417,81"</f>
        <v>R$ 5.417,81</v>
      </c>
      <c r="G708" t="str">
        <f>"R$ 6.501,37"</f>
        <v>R$ 6.501,37</v>
      </c>
      <c r="H708" t="str">
        <f t="shared" si="57"/>
        <v>R$ 0,00</v>
      </c>
      <c r="I708" t="str">
        <f>"R$ 6.501,37"</f>
        <v>R$ 6.501,37</v>
      </c>
      <c r="J708" t="str">
        <f>"R$ 4.157,68"</f>
        <v>R$ 4.157,68</v>
      </c>
      <c r="K708" t="str">
        <f>"R$ 2.343,69"</f>
        <v>R$ 2.343,69</v>
      </c>
    </row>
    <row r="709" spans="1:11" x14ac:dyDescent="0.25">
      <c r="A709" t="str">
        <f>"00053007 / 2"</f>
        <v>00053007 / 2</v>
      </c>
      <c r="B709" t="str">
        <f>"Folha Mensal"</f>
        <v>Folha Mensal</v>
      </c>
      <c r="C709" t="str">
        <f>"Joana Darc Gomes Picanco"</f>
        <v>Joana Darc Gomes Picanco</v>
      </c>
      <c r="D709" t="str">
        <f>"PROFESSOR NIVEL II"</f>
        <v>PROFESSOR NIVEL II</v>
      </c>
      <c r="E709" t="str">
        <f>"Efetivo-Inativos II-RJUSM"</f>
        <v>Efetivo-Inativos II-RJUSM</v>
      </c>
      <c r="F709" t="str">
        <f>"R$ 5.417,81"</f>
        <v>R$ 5.417,81</v>
      </c>
      <c r="G709" t="str">
        <f>"R$ 6.501,37"</f>
        <v>R$ 6.501,37</v>
      </c>
      <c r="H709" t="str">
        <f t="shared" si="57"/>
        <v>R$ 0,00</v>
      </c>
      <c r="I709" t="str">
        <f>"R$ 6.501,37"</f>
        <v>R$ 6.501,37</v>
      </c>
      <c r="J709" t="str">
        <f>"R$ 2.940,87"</f>
        <v>R$ 2.940,87</v>
      </c>
      <c r="K709" t="str">
        <f>"R$ 3.560,50"</f>
        <v>R$ 3.560,50</v>
      </c>
    </row>
    <row r="710" spans="1:11" x14ac:dyDescent="0.25">
      <c r="A710" t="str">
        <f>"00025283 / 1"</f>
        <v>00025283 / 1</v>
      </c>
      <c r="B710" t="str">
        <f>"13° Salário Anual"</f>
        <v>13° Salário Anual</v>
      </c>
      <c r="C710" t="str">
        <f>"Joana de Souza Martins da Silva"</f>
        <v>Joana de Souza Martins da Silva</v>
      </c>
      <c r="D710" t="str">
        <f>"PROFESSOR"</f>
        <v>PROFESSOR</v>
      </c>
      <c r="E710" t="str">
        <f t="shared" ref="E710:E717" si="60">"Efetivo-Inativo I- RJUSM"</f>
        <v>Efetivo-Inativo I- RJUSM</v>
      </c>
      <c r="F710" t="str">
        <f>"R$ 1.593,46"</f>
        <v>R$ 1.593,46</v>
      </c>
      <c r="G710" t="str">
        <f>"R$ 1.991,82"</f>
        <v>R$ 1.991,82</v>
      </c>
      <c r="H710" t="str">
        <f t="shared" si="57"/>
        <v>R$ 0,00</v>
      </c>
      <c r="I710" t="str">
        <f>"R$ 1.991,82"</f>
        <v>R$ 1.991,82</v>
      </c>
      <c r="J710" t="str">
        <f>"R$ 995,91"</f>
        <v>R$ 995,91</v>
      </c>
      <c r="K710" t="str">
        <f>"R$ 995,91"</f>
        <v>R$ 995,91</v>
      </c>
    </row>
    <row r="711" spans="1:11" x14ac:dyDescent="0.25">
      <c r="A711" t="str">
        <f>"00025283 / 1"</f>
        <v>00025283 / 1</v>
      </c>
      <c r="B711" t="str">
        <f>"Folha Mensal"</f>
        <v>Folha Mensal</v>
      </c>
      <c r="C711" t="str">
        <f>"Joana de Souza Martins da Silva"</f>
        <v>Joana de Souza Martins da Silva</v>
      </c>
      <c r="D711" t="str">
        <f>"PROFESSOR"</f>
        <v>PROFESSOR</v>
      </c>
      <c r="E711" t="str">
        <f t="shared" si="60"/>
        <v>Efetivo-Inativo I- RJUSM</v>
      </c>
      <c r="F711" t="str">
        <f>"R$ 1.593,46"</f>
        <v>R$ 1.593,46</v>
      </c>
      <c r="G711" t="str">
        <f>"R$ 1.991,82"</f>
        <v>R$ 1.991,82</v>
      </c>
      <c r="H711" t="str">
        <f t="shared" si="57"/>
        <v>R$ 0,00</v>
      </c>
      <c r="I711" t="str">
        <f>"R$ 1.991,82"</f>
        <v>R$ 1.991,82</v>
      </c>
      <c r="J711" t="str">
        <f>"R$ 0,00"</f>
        <v>R$ 0,00</v>
      </c>
      <c r="K711" t="str">
        <f>"R$ 1.991,82"</f>
        <v>R$ 1.991,82</v>
      </c>
    </row>
    <row r="712" spans="1:11" x14ac:dyDescent="0.25">
      <c r="A712" t="str">
        <f>"00007200 / 1"</f>
        <v>00007200 / 1</v>
      </c>
      <c r="B712" t="str">
        <f>"13° Salário Anual"</f>
        <v>13° Salário Anual</v>
      </c>
      <c r="C712" t="str">
        <f>"Joana do Socorro Lobato Barbosa"</f>
        <v>Joana do Socorro Lobato Barbosa</v>
      </c>
      <c r="D712" t="str">
        <f>"PROFESSOR"</f>
        <v>PROFESSOR</v>
      </c>
      <c r="E712" t="str">
        <f t="shared" si="60"/>
        <v>Efetivo-Inativo I- RJUSM</v>
      </c>
      <c r="F712" t="str">
        <f>"R$ 5.736,46"</f>
        <v>R$ 5.736,46</v>
      </c>
      <c r="G712" t="str">
        <f>"R$ 7.744,22"</f>
        <v>R$ 7.744,22</v>
      </c>
      <c r="H712" t="str">
        <f t="shared" si="57"/>
        <v>R$ 0,00</v>
      </c>
      <c r="I712" t="str">
        <f>"R$ 7.744,22"</f>
        <v>R$ 7.744,22</v>
      </c>
      <c r="J712" t="str">
        <f>"R$ 5.247,05"</f>
        <v>R$ 5.247,05</v>
      </c>
      <c r="K712" t="str">
        <f>"R$ 2.497,17"</f>
        <v>R$ 2.497,17</v>
      </c>
    </row>
    <row r="713" spans="1:11" x14ac:dyDescent="0.25">
      <c r="A713" t="str">
        <f>"00007200 / 1"</f>
        <v>00007200 / 1</v>
      </c>
      <c r="B713" t="str">
        <f>"Folha Mensal"</f>
        <v>Folha Mensal</v>
      </c>
      <c r="C713" t="str">
        <f>"Joana do Socorro Lobato Barbosa"</f>
        <v>Joana do Socorro Lobato Barbosa</v>
      </c>
      <c r="D713" t="str">
        <f>"PROFESSOR"</f>
        <v>PROFESSOR</v>
      </c>
      <c r="E713" t="str">
        <f t="shared" si="60"/>
        <v>Efetivo-Inativo I- RJUSM</v>
      </c>
      <c r="F713" t="str">
        <f>"R$ 5.736,46"</f>
        <v>R$ 5.736,46</v>
      </c>
      <c r="G713" t="str">
        <f>"R$ 7.744,22"</f>
        <v>R$ 7.744,22</v>
      </c>
      <c r="H713" t="str">
        <f t="shared" si="57"/>
        <v>R$ 0,00</v>
      </c>
      <c r="I713" t="str">
        <f>"R$ 7.744,22"</f>
        <v>R$ 7.744,22</v>
      </c>
      <c r="J713" t="str">
        <f>"R$ 2.938,88"</f>
        <v>R$ 2.938,88</v>
      </c>
      <c r="K713" t="str">
        <f>"R$ 4.805,34"</f>
        <v>R$ 4.805,34</v>
      </c>
    </row>
    <row r="714" spans="1:11" x14ac:dyDescent="0.25">
      <c r="A714" t="str">
        <f>"00032034 / 2"</f>
        <v>00032034 / 2</v>
      </c>
      <c r="B714" t="str">
        <f>"13° Salário Anual"</f>
        <v>13° Salário Anual</v>
      </c>
      <c r="C714" t="str">
        <f>"Joana Lobato Silva"</f>
        <v>Joana Lobato Silva</v>
      </c>
      <c r="D714" t="str">
        <f>"PROP INVALIDEZ"</f>
        <v>PROP INVALIDEZ</v>
      </c>
      <c r="E714" t="str">
        <f t="shared" si="60"/>
        <v>Efetivo-Inativo I- RJUSM</v>
      </c>
      <c r="F714" t="str">
        <f>"R$ 1.108,62"</f>
        <v>R$ 1.108,62</v>
      </c>
      <c r="G714" t="str">
        <f>"R$ 1.108,62"</f>
        <v>R$ 1.108,62</v>
      </c>
      <c r="H714" t="str">
        <f t="shared" si="57"/>
        <v>R$ 0,00</v>
      </c>
      <c r="I714" t="str">
        <f>"R$ 1.108,62"</f>
        <v>R$ 1.108,62</v>
      </c>
      <c r="J714" t="str">
        <f>"R$ 554,31"</f>
        <v>R$ 554,31</v>
      </c>
      <c r="K714" t="str">
        <f>"R$ 554,31"</f>
        <v>R$ 554,31</v>
      </c>
    </row>
    <row r="715" spans="1:11" x14ac:dyDescent="0.25">
      <c r="A715" t="str">
        <f>"00032034 / 2"</f>
        <v>00032034 / 2</v>
      </c>
      <c r="B715" t="str">
        <f>"Folha Mensal"</f>
        <v>Folha Mensal</v>
      </c>
      <c r="C715" t="str">
        <f>"Joana Lobato Silva"</f>
        <v>Joana Lobato Silva</v>
      </c>
      <c r="D715" t="str">
        <f>"PROP INVALIDEZ"</f>
        <v>PROP INVALIDEZ</v>
      </c>
      <c r="E715" t="str">
        <f t="shared" si="60"/>
        <v>Efetivo-Inativo I- RJUSM</v>
      </c>
      <c r="F715" t="str">
        <f>"R$ 1.108,62"</f>
        <v>R$ 1.108,62</v>
      </c>
      <c r="G715" t="str">
        <f>"R$ 1.108,62"</f>
        <v>R$ 1.108,62</v>
      </c>
      <c r="H715" t="str">
        <f t="shared" si="57"/>
        <v>R$ 0,00</v>
      </c>
      <c r="I715" t="str">
        <f>"R$ 1.108,62"</f>
        <v>R$ 1.108,62</v>
      </c>
      <c r="J715" t="str">
        <f>"R$ 285,37"</f>
        <v>R$ 285,37</v>
      </c>
      <c r="K715" t="str">
        <f>"R$ 823,25"</f>
        <v>R$ 823,25</v>
      </c>
    </row>
    <row r="716" spans="1:11" x14ac:dyDescent="0.25">
      <c r="A716" t="str">
        <f>"00006815 / 1"</f>
        <v>00006815 / 1</v>
      </c>
      <c r="B716" t="str">
        <f>"13° Salário Anual"</f>
        <v>13° Salário Anual</v>
      </c>
      <c r="C716" t="str">
        <f>"Joao Martins Teixeira"</f>
        <v>Joao Martins Teixeira</v>
      </c>
      <c r="D716" t="str">
        <f>"INT TEMP CONTRIBUICAO"</f>
        <v>INT TEMP CONTRIBUICAO</v>
      </c>
      <c r="E716" t="str">
        <f t="shared" si="60"/>
        <v>Efetivo-Inativo I- RJUSM</v>
      </c>
      <c r="F716" t="str">
        <f>"R$ 1.100,00"</f>
        <v>R$ 1.100,00</v>
      </c>
      <c r="G716" t="str">
        <f>"R$ 1.485,00"</f>
        <v>R$ 1.485,00</v>
      </c>
      <c r="H716" t="str">
        <f t="shared" si="57"/>
        <v>R$ 0,00</v>
      </c>
      <c r="I716" t="str">
        <f>"R$ 1.485,00"</f>
        <v>R$ 1.485,00</v>
      </c>
      <c r="J716" t="str">
        <f>"R$ 742,50"</f>
        <v>R$ 742,50</v>
      </c>
      <c r="K716" t="str">
        <f>"R$ 742,50"</f>
        <v>R$ 742,50</v>
      </c>
    </row>
    <row r="717" spans="1:11" x14ac:dyDescent="0.25">
      <c r="A717" t="str">
        <f>"00006815 / 1"</f>
        <v>00006815 / 1</v>
      </c>
      <c r="B717" t="str">
        <f>"Folha Mensal"</f>
        <v>Folha Mensal</v>
      </c>
      <c r="C717" t="str">
        <f>"Joao Martins Teixeira"</f>
        <v>Joao Martins Teixeira</v>
      </c>
      <c r="D717" t="str">
        <f>"INT TEMP CONTRIBUICAO"</f>
        <v>INT TEMP CONTRIBUICAO</v>
      </c>
      <c r="E717" t="str">
        <f t="shared" si="60"/>
        <v>Efetivo-Inativo I- RJUSM</v>
      </c>
      <c r="F717" t="str">
        <f>"R$ 1.100,00"</f>
        <v>R$ 1.100,00</v>
      </c>
      <c r="G717" t="str">
        <f>"R$ 1.485,00"</f>
        <v>R$ 1.485,00</v>
      </c>
      <c r="H717" t="str">
        <f t="shared" si="57"/>
        <v>R$ 0,00</v>
      </c>
      <c r="I717" t="str">
        <f>"R$ 1.485,00"</f>
        <v>R$ 1.485,00</v>
      </c>
      <c r="J717" t="str">
        <f>"R$ 0,00"</f>
        <v>R$ 0,00</v>
      </c>
      <c r="K717" t="str">
        <f>"R$ 1.485,00"</f>
        <v>R$ 1.485,00</v>
      </c>
    </row>
    <row r="718" spans="1:11" x14ac:dyDescent="0.25">
      <c r="A718" t="str">
        <f>"00062758 / 1"</f>
        <v>00062758 / 1</v>
      </c>
      <c r="B718" t="str">
        <f>"13° Salário Anual"</f>
        <v>13° Salário Anual</v>
      </c>
      <c r="C718" t="str">
        <f>"Joao Pedro Pires Viana"</f>
        <v>Joao Pedro Pires Viana</v>
      </c>
      <c r="D718" t="str">
        <f>"PENS TEMP ATE 25/05/27"</f>
        <v>PENS TEMP ATE 25/05/27</v>
      </c>
      <c r="E718" t="str">
        <f>"Pensionista"</f>
        <v>Pensionista</v>
      </c>
      <c r="F718" t="str">
        <f>"R$ 464,86"</f>
        <v>R$ 464,86</v>
      </c>
      <c r="G718" t="str">
        <f>"R$ 464,86"</f>
        <v>R$ 464,86</v>
      </c>
      <c r="H718" t="str">
        <f t="shared" si="57"/>
        <v>R$ 0,00</v>
      </c>
      <c r="I718" t="str">
        <f>"R$ 464,86"</f>
        <v>R$ 464,86</v>
      </c>
      <c r="J718" t="str">
        <f>"R$ 232,43"</f>
        <v>R$ 232,43</v>
      </c>
      <c r="K718" t="str">
        <f>"R$ 232,43"</f>
        <v>R$ 232,43</v>
      </c>
    </row>
    <row r="719" spans="1:11" x14ac:dyDescent="0.25">
      <c r="A719" t="str">
        <f>"00062758 / 1"</f>
        <v>00062758 / 1</v>
      </c>
      <c r="B719" t="str">
        <f>"Folha Mensal"</f>
        <v>Folha Mensal</v>
      </c>
      <c r="C719" t="str">
        <f>"Joao Pedro Pires Viana"</f>
        <v>Joao Pedro Pires Viana</v>
      </c>
      <c r="D719" t="str">
        <f>"PENS TEMP ATE 25/05/27"</f>
        <v>PENS TEMP ATE 25/05/27</v>
      </c>
      <c r="E719" t="str">
        <f>"Pensionista"</f>
        <v>Pensionista</v>
      </c>
      <c r="F719" t="str">
        <f>"R$ 464,86"</f>
        <v>R$ 464,86</v>
      </c>
      <c r="G719" t="str">
        <f>"R$ 464,86"</f>
        <v>R$ 464,86</v>
      </c>
      <c r="H719" t="str">
        <f t="shared" si="57"/>
        <v>R$ 0,00</v>
      </c>
      <c r="I719" t="str">
        <f>"R$ 464,86"</f>
        <v>R$ 464,86</v>
      </c>
      <c r="J719" t="str">
        <f>"R$ 0,00"</f>
        <v>R$ 0,00</v>
      </c>
      <c r="K719" t="str">
        <f>"R$ 464,86"</f>
        <v>R$ 464,86</v>
      </c>
    </row>
    <row r="720" spans="1:11" x14ac:dyDescent="0.25">
      <c r="A720" t="str">
        <f>"00069850 / 1"</f>
        <v>00069850 / 1</v>
      </c>
      <c r="B720" t="str">
        <f>"13° Salário Anual"</f>
        <v>13° Salário Anual</v>
      </c>
      <c r="C720" t="str">
        <f>"Joao Quintino Reis da Silva"</f>
        <v>Joao Quintino Reis da Silva</v>
      </c>
      <c r="D720" t="str">
        <f>"AUXILIAR MUNICIPAL"</f>
        <v>AUXILIAR MUNICIPAL</v>
      </c>
      <c r="E720" t="str">
        <f>"Efetivo-Inativos II-RJUSM"</f>
        <v>Efetivo-Inativos II-RJUSM</v>
      </c>
      <c r="F720" t="str">
        <f>"R$ 1.100,00"</f>
        <v>R$ 1.100,00</v>
      </c>
      <c r="G720" t="str">
        <f>"R$ 1.754,46"</f>
        <v>R$ 1.754,46</v>
      </c>
      <c r="H720" t="str">
        <f t="shared" si="57"/>
        <v>R$ 0,00</v>
      </c>
      <c r="I720" t="str">
        <f>"R$ 1.754,46"</f>
        <v>R$ 1.754,46</v>
      </c>
      <c r="J720" t="str">
        <f>"R$ 877,23"</f>
        <v>R$ 877,23</v>
      </c>
      <c r="K720" t="str">
        <f>"R$ 877,23"</f>
        <v>R$ 877,23</v>
      </c>
    </row>
    <row r="721" spans="1:11" x14ac:dyDescent="0.25">
      <c r="A721" t="str">
        <f>"00069850 / 1"</f>
        <v>00069850 / 1</v>
      </c>
      <c r="B721" t="str">
        <f>"Folha Mensal"</f>
        <v>Folha Mensal</v>
      </c>
      <c r="C721" t="str">
        <f>"Joao Quintino Reis da Silva"</f>
        <v>Joao Quintino Reis da Silva</v>
      </c>
      <c r="D721" t="str">
        <f>"AUXILIAR MUNICIPAL"</f>
        <v>AUXILIAR MUNICIPAL</v>
      </c>
      <c r="E721" t="str">
        <f>"Efetivo-Inativos II-RJUSM"</f>
        <v>Efetivo-Inativos II-RJUSM</v>
      </c>
      <c r="F721" t="str">
        <f>"R$ 1.100,00"</f>
        <v>R$ 1.100,00</v>
      </c>
      <c r="G721" t="str">
        <f>"R$ 1.754,46"</f>
        <v>R$ 1.754,46</v>
      </c>
      <c r="H721" t="str">
        <f t="shared" si="57"/>
        <v>R$ 0,00</v>
      </c>
      <c r="I721" t="str">
        <f>"R$ 1.754,46"</f>
        <v>R$ 1.754,46</v>
      </c>
      <c r="J721" t="str">
        <f>"R$ 0,00"</f>
        <v>R$ 0,00</v>
      </c>
      <c r="K721" t="str">
        <f>"R$ 1.754,46"</f>
        <v>R$ 1.754,46</v>
      </c>
    </row>
    <row r="722" spans="1:11" x14ac:dyDescent="0.25">
      <c r="A722" t="str">
        <f>"03641651 / 1"</f>
        <v>03641651 / 1</v>
      </c>
      <c r="B722" t="str">
        <f>"13° Salário Anual"</f>
        <v>13° Salário Anual</v>
      </c>
      <c r="C722" t="str">
        <f>"Joao Vicente da Costa Rabelo"</f>
        <v>Joao Vicente da Costa Rabelo</v>
      </c>
      <c r="D722" t="str">
        <f>"DAS 05"</f>
        <v>DAS 05</v>
      </c>
      <c r="E722" t="str">
        <f>"Comissionado"</f>
        <v>Comissionado</v>
      </c>
      <c r="F722" t="str">
        <f>"R$ 2.025,00"</f>
        <v>R$ 2.025,00</v>
      </c>
      <c r="G722" t="str">
        <f>"R$ 1.012,50"</f>
        <v>R$ 1.012,50</v>
      </c>
      <c r="H722" t="str">
        <f t="shared" si="57"/>
        <v>R$ 0,00</v>
      </c>
      <c r="I722" t="str">
        <f>"R$ 1.012,50"</f>
        <v>R$ 1.012,50</v>
      </c>
      <c r="J722" t="str">
        <f>"R$ 582,18"</f>
        <v>R$ 582,18</v>
      </c>
      <c r="K722" t="str">
        <f>"R$ 430,32"</f>
        <v>R$ 430,32</v>
      </c>
    </row>
    <row r="723" spans="1:11" x14ac:dyDescent="0.25">
      <c r="A723" t="str">
        <f>"03641651 / 1"</f>
        <v>03641651 / 1</v>
      </c>
      <c r="B723" t="str">
        <f>"Folha Mensal"</f>
        <v>Folha Mensal</v>
      </c>
      <c r="C723" t="str">
        <f>"Joao Vicente da Costa Rabelo"</f>
        <v>Joao Vicente da Costa Rabelo</v>
      </c>
      <c r="D723" t="str">
        <f>"DAS 05"</f>
        <v>DAS 05</v>
      </c>
      <c r="E723" t="str">
        <f>"Comissionado"</f>
        <v>Comissionado</v>
      </c>
      <c r="F723" t="str">
        <f>"R$ 2.025,00"</f>
        <v>R$ 2.025,00</v>
      </c>
      <c r="G723" t="str">
        <f>"R$ 2.025,00"</f>
        <v>R$ 2.025,00</v>
      </c>
      <c r="H723" t="str">
        <f t="shared" si="57"/>
        <v>R$ 0,00</v>
      </c>
      <c r="I723" t="str">
        <f>"R$ 2.025,00"</f>
        <v>R$ 2.025,00</v>
      </c>
      <c r="J723" t="str">
        <f>"R$ 165,75"</f>
        <v>R$ 165,75</v>
      </c>
      <c r="K723" t="str">
        <f>"R$ 1.859,25"</f>
        <v>R$ 1.859,25</v>
      </c>
    </row>
    <row r="724" spans="1:11" x14ac:dyDescent="0.25">
      <c r="A724" t="str">
        <f>"03641376 / 1"</f>
        <v>03641376 / 1</v>
      </c>
      <c r="B724" t="str">
        <f>"13° Salário Anual"</f>
        <v>13° Salário Anual</v>
      </c>
      <c r="C724" t="str">
        <f>"Joao Victor Reis Alves"</f>
        <v>Joao Victor Reis Alves</v>
      </c>
      <c r="D724" t="str">
        <f>"AUXILIAR MUNICIPAL"</f>
        <v>AUXILIAR MUNICIPAL</v>
      </c>
      <c r="E724" t="str">
        <f>"Efetivo"</f>
        <v>Efetivo</v>
      </c>
      <c r="F724" t="str">
        <f>"R$ 1.100,00"</f>
        <v>R$ 1.100,00</v>
      </c>
      <c r="G724" t="str">
        <f>"R$ 2.200,00"</f>
        <v>R$ 2.200,00</v>
      </c>
      <c r="H724" t="str">
        <f t="shared" si="57"/>
        <v>R$ 0,00</v>
      </c>
      <c r="I724" t="str">
        <f>"R$ 2.200,00"</f>
        <v>R$ 2.200,00</v>
      </c>
      <c r="J724" t="str">
        <f>"R$ 1.408,00"</f>
        <v>R$ 1.408,00</v>
      </c>
      <c r="K724" t="str">
        <f>"R$ 792,00"</f>
        <v>R$ 792,00</v>
      </c>
    </row>
    <row r="725" spans="1:11" x14ac:dyDescent="0.25">
      <c r="A725" t="str">
        <f>"03641376 / 1"</f>
        <v>03641376 / 1</v>
      </c>
      <c r="B725" t="str">
        <f>"Folha Mensal"</f>
        <v>Folha Mensal</v>
      </c>
      <c r="C725" t="str">
        <f>"Joao Victor Reis Alves"</f>
        <v>Joao Victor Reis Alves</v>
      </c>
      <c r="D725" t="str">
        <f>"AUXILIAR MUNICIPAL"</f>
        <v>AUXILIAR MUNICIPAL</v>
      </c>
      <c r="E725" t="str">
        <f>"Efetivo"</f>
        <v>Efetivo</v>
      </c>
      <c r="F725" t="str">
        <f>"R$ 1.100,00"</f>
        <v>R$ 1.100,00</v>
      </c>
      <c r="G725" t="str">
        <f>"R$ 3.087,33"</f>
        <v>R$ 3.087,33</v>
      </c>
      <c r="H725" t="str">
        <f t="shared" si="57"/>
        <v>R$ 0,00</v>
      </c>
      <c r="I725" t="str">
        <f>"R$ 3.087,33"</f>
        <v>R$ 3.087,33</v>
      </c>
      <c r="J725" t="str">
        <f>"R$ 178,65"</f>
        <v>R$ 178,65</v>
      </c>
      <c r="K725" t="str">
        <f>"R$ 2.908,68"</f>
        <v>R$ 2.908,68</v>
      </c>
    </row>
    <row r="726" spans="1:11" x14ac:dyDescent="0.25">
      <c r="A726" t="str">
        <f>"00007498 / 1"</f>
        <v>00007498 / 1</v>
      </c>
      <c r="B726" t="str">
        <f>"13° Salário Anual"</f>
        <v>13° Salário Anual</v>
      </c>
      <c r="C726" t="str">
        <f>"Jocelia Nazare Vilhena do Nascimento"</f>
        <v>Jocelia Nazare Vilhena do Nascimento</v>
      </c>
      <c r="D726" t="str">
        <f>"PROFESSOR"</f>
        <v>PROFESSOR</v>
      </c>
      <c r="E726" t="str">
        <f>"Efetivo-Inativo I- RJUSM"</f>
        <v>Efetivo-Inativo I- RJUSM</v>
      </c>
      <c r="F726" t="str">
        <f>"R$ 1.593,46"</f>
        <v>R$ 1.593,46</v>
      </c>
      <c r="G726" t="str">
        <f>"R$ 1.991,82"</f>
        <v>R$ 1.991,82</v>
      </c>
      <c r="H726" t="str">
        <f t="shared" si="57"/>
        <v>R$ 0,00</v>
      </c>
      <c r="I726" t="str">
        <f>"R$ 1.991,82"</f>
        <v>R$ 1.991,82</v>
      </c>
      <c r="J726" t="str">
        <f>"R$ 995,91"</f>
        <v>R$ 995,91</v>
      </c>
      <c r="K726" t="str">
        <f>"R$ 995,91"</f>
        <v>R$ 995,91</v>
      </c>
    </row>
    <row r="727" spans="1:11" x14ac:dyDescent="0.25">
      <c r="A727" t="str">
        <f>"00007498 / 1"</f>
        <v>00007498 / 1</v>
      </c>
      <c r="B727" t="str">
        <f>"Folha Mensal"</f>
        <v>Folha Mensal</v>
      </c>
      <c r="C727" t="str">
        <f>"Jocelia Nazare Vilhena do Nascimento"</f>
        <v>Jocelia Nazare Vilhena do Nascimento</v>
      </c>
      <c r="D727" t="str">
        <f>"PROFESSOR"</f>
        <v>PROFESSOR</v>
      </c>
      <c r="E727" t="str">
        <f>"Efetivo-Inativo I- RJUSM"</f>
        <v>Efetivo-Inativo I- RJUSM</v>
      </c>
      <c r="F727" t="str">
        <f>"R$ 1.593,46"</f>
        <v>R$ 1.593,46</v>
      </c>
      <c r="G727" t="str">
        <f>"R$ 1.991,82"</f>
        <v>R$ 1.991,82</v>
      </c>
      <c r="H727" t="str">
        <f t="shared" si="57"/>
        <v>R$ 0,00</v>
      </c>
      <c r="I727" t="str">
        <f>"R$ 1.991,82"</f>
        <v>R$ 1.991,82</v>
      </c>
      <c r="J727" t="str">
        <f>"R$ 0,00"</f>
        <v>R$ 0,00</v>
      </c>
      <c r="K727" t="str">
        <f>"R$ 1.991,82"</f>
        <v>R$ 1.991,82</v>
      </c>
    </row>
    <row r="728" spans="1:11" x14ac:dyDescent="0.25">
      <c r="A728" t="str">
        <f>"00031747 / 2"</f>
        <v>00031747 / 2</v>
      </c>
      <c r="B728" t="str">
        <f>"13° Salário Anual"</f>
        <v>13° Salário Anual</v>
      </c>
      <c r="C728" t="str">
        <f>"Jonas Karlem Angelim Viana"</f>
        <v>Jonas Karlem Angelim Viana</v>
      </c>
      <c r="D728" t="str">
        <f>"PENSIONISTA"</f>
        <v>PENSIONISTA</v>
      </c>
      <c r="E728" t="str">
        <f>"Pensionista"</f>
        <v>Pensionista</v>
      </c>
      <c r="F728" t="str">
        <f t="shared" ref="F728:G731" si="61">"R$ 464,86"</f>
        <v>R$ 464,86</v>
      </c>
      <c r="G728" t="str">
        <f t="shared" si="61"/>
        <v>R$ 464,86</v>
      </c>
      <c r="H728" t="str">
        <f t="shared" si="57"/>
        <v>R$ 0,00</v>
      </c>
      <c r="I728" t="str">
        <f>"R$ 464,86"</f>
        <v>R$ 464,86</v>
      </c>
      <c r="J728" t="str">
        <f>"R$ 232,43"</f>
        <v>R$ 232,43</v>
      </c>
      <c r="K728" t="str">
        <f>"R$ 232,43"</f>
        <v>R$ 232,43</v>
      </c>
    </row>
    <row r="729" spans="1:11" x14ac:dyDescent="0.25">
      <c r="A729" t="str">
        <f>"00031747 / 2"</f>
        <v>00031747 / 2</v>
      </c>
      <c r="B729" t="str">
        <f>"Folha Mensal"</f>
        <v>Folha Mensal</v>
      </c>
      <c r="C729" t="str">
        <f>"Jonas Karlem Angelim Viana"</f>
        <v>Jonas Karlem Angelim Viana</v>
      </c>
      <c r="D729" t="str">
        <f>"PENSIONISTA"</f>
        <v>PENSIONISTA</v>
      </c>
      <c r="E729" t="str">
        <f>"Pensionista"</f>
        <v>Pensionista</v>
      </c>
      <c r="F729" t="str">
        <f t="shared" si="61"/>
        <v>R$ 464,86</v>
      </c>
      <c r="G729" t="str">
        <f t="shared" si="61"/>
        <v>R$ 464,86</v>
      </c>
      <c r="H729" t="str">
        <f t="shared" si="57"/>
        <v>R$ 0,00</v>
      </c>
      <c r="I729" t="str">
        <f>"R$ 464,86"</f>
        <v>R$ 464,86</v>
      </c>
      <c r="J729" t="str">
        <f>"R$ 0,00"</f>
        <v>R$ 0,00</v>
      </c>
      <c r="K729" t="str">
        <f>"R$ 464,86"</f>
        <v>R$ 464,86</v>
      </c>
    </row>
    <row r="730" spans="1:11" x14ac:dyDescent="0.25">
      <c r="A730" t="str">
        <f>"03641546 / 1"</f>
        <v>03641546 / 1</v>
      </c>
      <c r="B730" t="str">
        <f>"13° Salário Anual"</f>
        <v>13° Salário Anual</v>
      </c>
      <c r="C730" t="str">
        <f>"Jonas Pires Viana"</f>
        <v>Jonas Pires Viana</v>
      </c>
      <c r="D730" t="str">
        <f>"PENS TEMP ATE 07/08/22"</f>
        <v>PENS TEMP ATE 07/08/22</v>
      </c>
      <c r="E730" t="str">
        <f>"Pensionista"</f>
        <v>Pensionista</v>
      </c>
      <c r="F730" t="str">
        <f t="shared" si="61"/>
        <v>R$ 464,86</v>
      </c>
      <c r="G730" t="str">
        <f t="shared" si="61"/>
        <v>R$ 464,86</v>
      </c>
      <c r="H730" t="str">
        <f t="shared" ref="H730:H793" si="62">"R$ 0,00"</f>
        <v>R$ 0,00</v>
      </c>
      <c r="I730" t="str">
        <f>"R$ 464,86"</f>
        <v>R$ 464,86</v>
      </c>
      <c r="J730" t="str">
        <f>"R$ 232,43"</f>
        <v>R$ 232,43</v>
      </c>
      <c r="K730" t="str">
        <f>"R$ 232,43"</f>
        <v>R$ 232,43</v>
      </c>
    </row>
    <row r="731" spans="1:11" x14ac:dyDescent="0.25">
      <c r="A731" t="str">
        <f>"03641546 / 1"</f>
        <v>03641546 / 1</v>
      </c>
      <c r="B731" t="str">
        <f>"Folha Mensal"</f>
        <v>Folha Mensal</v>
      </c>
      <c r="C731" t="str">
        <f>"Jonas Pires Viana"</f>
        <v>Jonas Pires Viana</v>
      </c>
      <c r="D731" t="str">
        <f>"PENS TEMP ATE 07/08/22"</f>
        <v>PENS TEMP ATE 07/08/22</v>
      </c>
      <c r="E731" t="str">
        <f>"Pensionista"</f>
        <v>Pensionista</v>
      </c>
      <c r="F731" t="str">
        <f t="shared" si="61"/>
        <v>R$ 464,86</v>
      </c>
      <c r="G731" t="str">
        <f t="shared" si="61"/>
        <v>R$ 464,86</v>
      </c>
      <c r="H731" t="str">
        <f t="shared" si="62"/>
        <v>R$ 0,00</v>
      </c>
      <c r="I731" t="str">
        <f>"R$ 464,86"</f>
        <v>R$ 464,86</v>
      </c>
      <c r="J731" t="str">
        <f>"R$ 0,00"</f>
        <v>R$ 0,00</v>
      </c>
      <c r="K731" t="str">
        <f>"R$ 464,86"</f>
        <v>R$ 464,86</v>
      </c>
    </row>
    <row r="732" spans="1:11" x14ac:dyDescent="0.25">
      <c r="A732" t="str">
        <f>"00003409 / 2"</f>
        <v>00003409 / 2</v>
      </c>
      <c r="B732" t="str">
        <f>"13° Salário Anual"</f>
        <v>13° Salário Anual</v>
      </c>
      <c r="C732" t="str">
        <f>"Jorcilene do Socorro Cardoso de Oliveira"</f>
        <v>Jorcilene do Socorro Cardoso de Oliveira</v>
      </c>
      <c r="D732" t="str">
        <f>"PROFESSOR NIVEL II"</f>
        <v>PROFESSOR NIVEL II</v>
      </c>
      <c r="E732" t="str">
        <f t="shared" ref="E732:E739" si="63">"Efetivo-Inativos II-RJUSM"</f>
        <v>Efetivo-Inativos II-RJUSM</v>
      </c>
      <c r="F732" t="str">
        <f>"R$ 5.736,47"</f>
        <v>R$ 5.736,47</v>
      </c>
      <c r="G732" t="str">
        <f>"R$ 7.457,41"</f>
        <v>R$ 7.457,41</v>
      </c>
      <c r="H732" t="str">
        <f t="shared" si="62"/>
        <v>R$ 0,00</v>
      </c>
      <c r="I732" t="str">
        <f>"R$ 7.457,41"</f>
        <v>R$ 7.457,41</v>
      </c>
      <c r="J732" t="str">
        <f>"R$ 5.047,79"</f>
        <v>R$ 5.047,79</v>
      </c>
      <c r="K732" t="str">
        <f>"R$ 2.409,62"</f>
        <v>R$ 2.409,62</v>
      </c>
    </row>
    <row r="733" spans="1:11" x14ac:dyDescent="0.25">
      <c r="A733" t="str">
        <f>"00003409 / 2"</f>
        <v>00003409 / 2</v>
      </c>
      <c r="B733" t="str">
        <f>"Folha Mensal"</f>
        <v>Folha Mensal</v>
      </c>
      <c r="C733" t="str">
        <f>"Jorcilene do Socorro Cardoso de Oliveira"</f>
        <v>Jorcilene do Socorro Cardoso de Oliveira</v>
      </c>
      <c r="D733" t="str">
        <f>"PROFESSOR NIVEL II"</f>
        <v>PROFESSOR NIVEL II</v>
      </c>
      <c r="E733" t="str">
        <f t="shared" si="63"/>
        <v>Efetivo-Inativos II-RJUSM</v>
      </c>
      <c r="F733" t="str">
        <f>"R$ 5.736,47"</f>
        <v>R$ 5.736,47</v>
      </c>
      <c r="G733" t="str">
        <f>"R$ 7.457,41"</f>
        <v>R$ 7.457,41</v>
      </c>
      <c r="H733" t="str">
        <f t="shared" si="62"/>
        <v>R$ 0,00</v>
      </c>
      <c r="I733" t="str">
        <f>"R$ 7.457,41"</f>
        <v>R$ 7.457,41</v>
      </c>
      <c r="J733" t="str">
        <f>"R$ 2.801,42"</f>
        <v>R$ 2.801,42</v>
      </c>
      <c r="K733" t="str">
        <f>"R$ 4.655,99"</f>
        <v>R$ 4.655,99</v>
      </c>
    </row>
    <row r="734" spans="1:11" x14ac:dyDescent="0.25">
      <c r="A734" t="str">
        <f>"00051349 / 1"</f>
        <v>00051349 / 1</v>
      </c>
      <c r="B734" t="str">
        <f>"13° Salário Anual"</f>
        <v>13° Salário Anual</v>
      </c>
      <c r="C734" t="str">
        <f>"Jorgete Conceicao Lima"</f>
        <v>Jorgete Conceicao Lima</v>
      </c>
      <c r="D734" t="str">
        <f>"PROFESSOR NIVEL II"</f>
        <v>PROFESSOR NIVEL II</v>
      </c>
      <c r="E734" t="str">
        <f t="shared" si="63"/>
        <v>Efetivo-Inativos II-RJUSM</v>
      </c>
      <c r="F734" t="str">
        <f>"R$ 5.258,43"</f>
        <v>R$ 5.258,43</v>
      </c>
      <c r="G734" t="str">
        <f>"R$ 6.310,11"</f>
        <v>R$ 6.310,11</v>
      </c>
      <c r="H734" t="str">
        <f t="shared" si="62"/>
        <v>R$ 0,00</v>
      </c>
      <c r="I734" t="str">
        <f>"R$ 6.310,11"</f>
        <v>R$ 6.310,11</v>
      </c>
      <c r="J734" t="str">
        <f>"R$ 3.532,97"</f>
        <v>R$ 3.532,97</v>
      </c>
      <c r="K734" t="str">
        <f>"R$ 2.777,14"</f>
        <v>R$ 2.777,14</v>
      </c>
    </row>
    <row r="735" spans="1:11" x14ac:dyDescent="0.25">
      <c r="A735" t="str">
        <f>"00051349 / 1"</f>
        <v>00051349 / 1</v>
      </c>
      <c r="B735" t="str">
        <f>"Folha Mensal"</f>
        <v>Folha Mensal</v>
      </c>
      <c r="C735" t="str">
        <f>"Jorgete Conceicao Lima"</f>
        <v>Jorgete Conceicao Lima</v>
      </c>
      <c r="D735" t="str">
        <f>"PROFESSOR NIVEL II"</f>
        <v>PROFESSOR NIVEL II</v>
      </c>
      <c r="E735" t="str">
        <f t="shared" si="63"/>
        <v>Efetivo-Inativos II-RJUSM</v>
      </c>
      <c r="F735" t="str">
        <f>"R$ 5.258,43"</f>
        <v>R$ 5.258,43</v>
      </c>
      <c r="G735" t="str">
        <f>"R$ 6.310,11"</f>
        <v>R$ 6.310,11</v>
      </c>
      <c r="H735" t="str">
        <f t="shared" si="62"/>
        <v>R$ 0,00</v>
      </c>
      <c r="I735" t="str">
        <f>"R$ 6.310,11"</f>
        <v>R$ 6.310,11</v>
      </c>
      <c r="J735" t="str">
        <f>"R$ 377,92"</f>
        <v>R$ 377,92</v>
      </c>
      <c r="K735" t="str">
        <f>"R$ 5.932,19"</f>
        <v>R$ 5.932,19</v>
      </c>
    </row>
    <row r="736" spans="1:11" x14ac:dyDescent="0.25">
      <c r="A736" t="str">
        <f>"00044415 / 1"</f>
        <v>00044415 / 1</v>
      </c>
      <c r="B736" t="str">
        <f>"13° Salário Anual"</f>
        <v>13° Salário Anual</v>
      </c>
      <c r="C736" t="str">
        <f>"Jorgina Socorro Silva Pereira"</f>
        <v>Jorgina Socorro Silva Pereira</v>
      </c>
      <c r="D736" t="str">
        <f>"PROFESSOR NIVEL III"</f>
        <v>PROFESSOR NIVEL III</v>
      </c>
      <c r="E736" t="str">
        <f t="shared" si="63"/>
        <v>Efetivo-Inativos II-RJUSM</v>
      </c>
      <c r="F736" t="str">
        <f>"R$ 3.027,58"</f>
        <v>R$ 3.027,58</v>
      </c>
      <c r="G736" t="str">
        <f>"R$ 3.935,85"</f>
        <v>R$ 3.935,85</v>
      </c>
      <c r="H736" t="str">
        <f t="shared" si="62"/>
        <v>R$ 0,00</v>
      </c>
      <c r="I736" t="str">
        <f>"R$ 3.935,85"</f>
        <v>R$ 3.935,85</v>
      </c>
      <c r="J736" t="str">
        <f>"R$ 2.217,35"</f>
        <v>R$ 2.217,35</v>
      </c>
      <c r="K736" t="str">
        <f>"R$ 1.718,50"</f>
        <v>R$ 1.718,50</v>
      </c>
    </row>
    <row r="737" spans="1:11" x14ac:dyDescent="0.25">
      <c r="A737" t="str">
        <f>"00044415 / 1"</f>
        <v>00044415 / 1</v>
      </c>
      <c r="B737" t="str">
        <f>"Folha Mensal"</f>
        <v>Folha Mensal</v>
      </c>
      <c r="C737" t="str">
        <f>"Jorgina Socorro Silva Pereira"</f>
        <v>Jorgina Socorro Silva Pereira</v>
      </c>
      <c r="D737" t="str">
        <f>"PROFESSOR NIVEL III"</f>
        <v>PROFESSOR NIVEL III</v>
      </c>
      <c r="E737" t="str">
        <f t="shared" si="63"/>
        <v>Efetivo-Inativos II-RJUSM</v>
      </c>
      <c r="F737" t="str">
        <f>"R$ 3.027,58"</f>
        <v>R$ 3.027,58</v>
      </c>
      <c r="G737" t="str">
        <f>"R$ 3.935,85"</f>
        <v>R$ 3.935,85</v>
      </c>
      <c r="H737" t="str">
        <f t="shared" si="62"/>
        <v>R$ 0,00</v>
      </c>
      <c r="I737" t="str">
        <f>"R$ 3.935,85"</f>
        <v>R$ 3.935,85</v>
      </c>
      <c r="J737" t="str">
        <f>"R$ 1.536,23"</f>
        <v>R$ 1.536,23</v>
      </c>
      <c r="K737" t="str">
        <f>"R$ 2.399,62"</f>
        <v>R$ 2.399,62</v>
      </c>
    </row>
    <row r="738" spans="1:11" x14ac:dyDescent="0.25">
      <c r="A738" t="str">
        <f>"00000060 / 1"</f>
        <v>00000060 / 1</v>
      </c>
      <c r="B738" t="str">
        <f>"13° Salário Anual"</f>
        <v>13° Salário Anual</v>
      </c>
      <c r="C738" t="str">
        <f>"Jorziclea do Socorro Cardoso de Oliveira"</f>
        <v>Jorziclea do Socorro Cardoso de Oliveira</v>
      </c>
      <c r="D738" t="str">
        <f>"PROFESSOR NIVEL II"</f>
        <v>PROFESSOR NIVEL II</v>
      </c>
      <c r="E738" t="str">
        <f t="shared" si="63"/>
        <v>Efetivo-Inativos II-RJUSM</v>
      </c>
      <c r="F738" t="str">
        <f>"R$ 5.736,47"</f>
        <v>R$ 5.736,47</v>
      </c>
      <c r="G738" t="str">
        <f>"R$ 7.457,41"</f>
        <v>R$ 7.457,41</v>
      </c>
      <c r="H738" t="str">
        <f t="shared" si="62"/>
        <v>R$ 0,00</v>
      </c>
      <c r="I738" t="str">
        <f>"R$ 7.457,41"</f>
        <v>R$ 7.457,41</v>
      </c>
      <c r="J738" t="str">
        <f>"R$ 5.047,79"</f>
        <v>R$ 5.047,79</v>
      </c>
      <c r="K738" t="str">
        <f>"R$ 2.409,62"</f>
        <v>R$ 2.409,62</v>
      </c>
    </row>
    <row r="739" spans="1:11" x14ac:dyDescent="0.25">
      <c r="A739" t="str">
        <f>"00000060 / 1"</f>
        <v>00000060 / 1</v>
      </c>
      <c r="B739" t="str">
        <f>"Folha Mensal"</f>
        <v>Folha Mensal</v>
      </c>
      <c r="C739" t="str">
        <f>"Jorziclea do Socorro Cardoso de Oliveira"</f>
        <v>Jorziclea do Socorro Cardoso de Oliveira</v>
      </c>
      <c r="D739" t="str">
        <f>"PROFESSOR NIVEL II"</f>
        <v>PROFESSOR NIVEL II</v>
      </c>
      <c r="E739" t="str">
        <f t="shared" si="63"/>
        <v>Efetivo-Inativos II-RJUSM</v>
      </c>
      <c r="F739" t="str">
        <f>"R$ 5.736,47"</f>
        <v>R$ 5.736,47</v>
      </c>
      <c r="G739" t="str">
        <f>"R$ 8.489,53"</f>
        <v>R$ 8.489,53</v>
      </c>
      <c r="H739" t="str">
        <f t="shared" si="62"/>
        <v>R$ 0,00</v>
      </c>
      <c r="I739" t="str">
        <f>"R$ 8.489,53"</f>
        <v>R$ 8.489,53</v>
      </c>
      <c r="J739" t="str">
        <f>"R$ 3.384,41"</f>
        <v>R$ 3.384,41</v>
      </c>
      <c r="K739" t="str">
        <f>"R$ 5.105,12"</f>
        <v>R$ 5.105,12</v>
      </c>
    </row>
    <row r="740" spans="1:11" x14ac:dyDescent="0.25">
      <c r="A740" t="str">
        <f>"00406244 / 1"</f>
        <v>00406244 / 1</v>
      </c>
      <c r="B740" t="str">
        <f>"13° Salário Anual"</f>
        <v>13° Salário Anual</v>
      </c>
      <c r="C740" t="str">
        <f>"Jose Cardoso do Rosario"</f>
        <v>Jose Cardoso do Rosario</v>
      </c>
      <c r="D740" t="str">
        <f>"PENSIONISTA DE PROFESSOR"</f>
        <v>PENSIONISTA DE PROFESSOR</v>
      </c>
      <c r="E740" t="str">
        <f t="shared" ref="E740:E745" si="64">"Pensionista"</f>
        <v>Pensionista</v>
      </c>
      <c r="F740" t="str">
        <f>"R$ 1.593,46"</f>
        <v>R$ 1.593,46</v>
      </c>
      <c r="G740" t="str">
        <f>"R$ 1.593,46"</f>
        <v>R$ 1.593,46</v>
      </c>
      <c r="H740" t="str">
        <f t="shared" si="62"/>
        <v>R$ 0,00</v>
      </c>
      <c r="I740" t="str">
        <f>"R$ 1.593,46"</f>
        <v>R$ 1.593,46</v>
      </c>
      <c r="J740" t="str">
        <f>"R$ 796,73"</f>
        <v>R$ 796,73</v>
      </c>
      <c r="K740" t="str">
        <f>"R$ 796,73"</f>
        <v>R$ 796,73</v>
      </c>
    </row>
    <row r="741" spans="1:11" x14ac:dyDescent="0.25">
      <c r="A741" t="str">
        <f>"00406244 / 1"</f>
        <v>00406244 / 1</v>
      </c>
      <c r="B741" t="str">
        <f>"Folha Mensal"</f>
        <v>Folha Mensal</v>
      </c>
      <c r="C741" t="str">
        <f>"Jose Cardoso do Rosario"</f>
        <v>Jose Cardoso do Rosario</v>
      </c>
      <c r="D741" t="str">
        <f>"PENSIONISTA DE PROFESSOR"</f>
        <v>PENSIONISTA DE PROFESSOR</v>
      </c>
      <c r="E741" t="str">
        <f t="shared" si="64"/>
        <v>Pensionista</v>
      </c>
      <c r="F741" t="str">
        <f>"R$ 1.593,46"</f>
        <v>R$ 1.593,46</v>
      </c>
      <c r="G741" t="str">
        <f>"R$ 1.593,46"</f>
        <v>R$ 1.593,46</v>
      </c>
      <c r="H741" t="str">
        <f t="shared" si="62"/>
        <v>R$ 0,00</v>
      </c>
      <c r="I741" t="str">
        <f>"R$ 1.593,46"</f>
        <v>R$ 1.593,46</v>
      </c>
      <c r="J741" t="str">
        <f>"R$ 477,75"</f>
        <v>R$ 477,75</v>
      </c>
      <c r="K741" t="str">
        <f>"R$ 1.115,71"</f>
        <v>R$ 1.115,71</v>
      </c>
    </row>
    <row r="742" spans="1:11" x14ac:dyDescent="0.25">
      <c r="A742" t="str">
        <f>"03642526 / 1"</f>
        <v>03642526 / 1</v>
      </c>
      <c r="B742" t="str">
        <f>"13° Salário Anual"</f>
        <v>13° Salário Anual</v>
      </c>
      <c r="C742" t="str">
        <f>"Jose Carlos Barbosa da Silva"</f>
        <v>Jose Carlos Barbosa da Silva</v>
      </c>
      <c r="D742" t="str">
        <f>"PENSIONISTA DE PROFESSOR"</f>
        <v>PENSIONISTA DE PROFESSOR</v>
      </c>
      <c r="E742" t="str">
        <f t="shared" si="64"/>
        <v>Pensionista</v>
      </c>
      <c r="F742" t="str">
        <f>"R$ 1.593,46"</f>
        <v>R$ 1.593,46</v>
      </c>
      <c r="G742" t="str">
        <f>"R$ 1.991,82"</f>
        <v>R$ 1.991,82</v>
      </c>
      <c r="H742" t="str">
        <f t="shared" si="62"/>
        <v>R$ 0,00</v>
      </c>
      <c r="I742" t="str">
        <f>"R$ 1.991,82"</f>
        <v>R$ 1.991,82</v>
      </c>
      <c r="J742" t="str">
        <f>"R$ 995,91"</f>
        <v>R$ 995,91</v>
      </c>
      <c r="K742" t="str">
        <f>"R$ 995,91"</f>
        <v>R$ 995,91</v>
      </c>
    </row>
    <row r="743" spans="1:11" x14ac:dyDescent="0.25">
      <c r="A743" t="str">
        <f>"03642526 / 1"</f>
        <v>03642526 / 1</v>
      </c>
      <c r="B743" t="str">
        <f>"Folha Mensal"</f>
        <v>Folha Mensal</v>
      </c>
      <c r="C743" t="str">
        <f>"Jose Carlos Barbosa da Silva"</f>
        <v>Jose Carlos Barbosa da Silva</v>
      </c>
      <c r="D743" t="str">
        <f>"PENSIONISTA DE PROFESSOR"</f>
        <v>PENSIONISTA DE PROFESSOR</v>
      </c>
      <c r="E743" t="str">
        <f t="shared" si="64"/>
        <v>Pensionista</v>
      </c>
      <c r="F743" t="str">
        <f>"R$ 1.593,46"</f>
        <v>R$ 1.593,46</v>
      </c>
      <c r="G743" t="str">
        <f>"R$ 1.991,82"</f>
        <v>R$ 1.991,82</v>
      </c>
      <c r="H743" t="str">
        <f t="shared" si="62"/>
        <v>R$ 0,00</v>
      </c>
      <c r="I743" t="str">
        <f>"R$ 1.991,82"</f>
        <v>R$ 1.991,82</v>
      </c>
      <c r="J743" t="str">
        <f>"R$ 0,00"</f>
        <v>R$ 0,00</v>
      </c>
      <c r="K743" t="str">
        <f>"R$ 1.991,82"</f>
        <v>R$ 1.991,82</v>
      </c>
    </row>
    <row r="744" spans="1:11" x14ac:dyDescent="0.25">
      <c r="A744" t="str">
        <f>"03641317 / 1"</f>
        <v>03641317 / 1</v>
      </c>
      <c r="B744" t="str">
        <f>"13° Salário Anual"</f>
        <v>13° Salário Anual</v>
      </c>
      <c r="C744" t="str">
        <f>"Jose Edson Soares Nepomuceno"</f>
        <v>Jose Edson Soares Nepomuceno</v>
      </c>
      <c r="D744" t="str">
        <f>"PENSIONISTA"</f>
        <v>PENSIONISTA</v>
      </c>
      <c r="E744" t="str">
        <f t="shared" si="64"/>
        <v>Pensionista</v>
      </c>
      <c r="F744" t="str">
        <f>"R$ 1.553,62"</f>
        <v>R$ 1.553,62</v>
      </c>
      <c r="G744" t="str">
        <f>"R$ 1.294,68"</f>
        <v>R$ 1.294,68</v>
      </c>
      <c r="H744" t="str">
        <f t="shared" si="62"/>
        <v>R$ 0,00</v>
      </c>
      <c r="I744" t="str">
        <f>"R$ 1.294,68"</f>
        <v>R$ 1.294,68</v>
      </c>
      <c r="J744" t="str">
        <f>"R$ 712,07"</f>
        <v>R$ 712,07</v>
      </c>
      <c r="K744" t="str">
        <f>"R$ 582,61"</f>
        <v>R$ 582,61</v>
      </c>
    </row>
    <row r="745" spans="1:11" x14ac:dyDescent="0.25">
      <c r="A745" t="str">
        <f>"03641317 / 1"</f>
        <v>03641317 / 1</v>
      </c>
      <c r="B745" t="str">
        <f>"Folha Mensal"</f>
        <v>Folha Mensal</v>
      </c>
      <c r="C745" t="str">
        <f>"Jose Edson Soares Nepomuceno"</f>
        <v>Jose Edson Soares Nepomuceno</v>
      </c>
      <c r="D745" t="str">
        <f>"PENSIONISTA"</f>
        <v>PENSIONISTA</v>
      </c>
      <c r="E745" t="str">
        <f t="shared" si="64"/>
        <v>Pensionista</v>
      </c>
      <c r="F745" t="str">
        <f>"R$ 1.553,62"</f>
        <v>R$ 1.553,62</v>
      </c>
      <c r="G745" t="str">
        <f>"R$ 1.553,62"</f>
        <v>R$ 1.553,62</v>
      </c>
      <c r="H745" t="str">
        <f t="shared" si="62"/>
        <v>R$ 0,00</v>
      </c>
      <c r="I745" t="str">
        <f>"R$ 1.553,62"</f>
        <v>R$ 1.553,62</v>
      </c>
      <c r="J745" t="str">
        <f>"R$ 0,00"</f>
        <v>R$ 0,00</v>
      </c>
      <c r="K745" t="str">
        <f>"R$ 1.553,62"</f>
        <v>R$ 1.553,62</v>
      </c>
    </row>
    <row r="746" spans="1:11" x14ac:dyDescent="0.25">
      <c r="A746" t="str">
        <f>"00297372 / 2"</f>
        <v>00297372 / 2</v>
      </c>
      <c r="B746" t="str">
        <f>"13° Salário Anual"</f>
        <v>13° Salário Anual</v>
      </c>
      <c r="C746" t="str">
        <f>"Jose Francisco Alves"</f>
        <v>Jose Francisco Alves</v>
      </c>
      <c r="D746" t="str">
        <f>"DAS 07"</f>
        <v>DAS 07</v>
      </c>
      <c r="E746" t="str">
        <f>"Comissionado"</f>
        <v>Comissionado</v>
      </c>
      <c r="F746" t="str">
        <f>"R$ 3.154,55"</f>
        <v>R$ 3.154,55</v>
      </c>
      <c r="G746" t="str">
        <f>"R$ 3.154,55"</f>
        <v>R$ 3.154,55</v>
      </c>
      <c r="H746" t="str">
        <f t="shared" si="62"/>
        <v>R$ 0,00</v>
      </c>
      <c r="I746" t="str">
        <f>"R$ 3.154,55"</f>
        <v>R$ 3.154,55</v>
      </c>
      <c r="J746" t="str">
        <f>"R$ 1.947,19"</f>
        <v>R$ 1.947,19</v>
      </c>
      <c r="K746" t="str">
        <f>"R$ 1.207,36"</f>
        <v>R$ 1.207,36</v>
      </c>
    </row>
    <row r="747" spans="1:11" x14ac:dyDescent="0.25">
      <c r="A747" t="str">
        <f>"00297372 / 2"</f>
        <v>00297372 / 2</v>
      </c>
      <c r="B747" t="str">
        <f>"Folha Mensal"</f>
        <v>Folha Mensal</v>
      </c>
      <c r="C747" t="str">
        <f>"Jose Francisco Alves"</f>
        <v>Jose Francisco Alves</v>
      </c>
      <c r="D747" t="str">
        <f>"DAS 07"</f>
        <v>DAS 07</v>
      </c>
      <c r="E747" t="str">
        <f>"Comissionado"</f>
        <v>Comissionado</v>
      </c>
      <c r="F747" t="str">
        <f>"R$ 3.154,55"</f>
        <v>R$ 3.154,55</v>
      </c>
      <c r="G747" t="str">
        <f>"R$ 3.154,55"</f>
        <v>R$ 3.154,55</v>
      </c>
      <c r="H747" t="str">
        <f t="shared" si="62"/>
        <v>R$ 0,00</v>
      </c>
      <c r="I747" t="str">
        <f>"R$ 3.154,55"</f>
        <v>R$ 3.154,55</v>
      </c>
      <c r="J747" t="str">
        <f>"R$ 369,92"</f>
        <v>R$ 369,92</v>
      </c>
      <c r="K747" t="str">
        <f>"R$ 2.784,63"</f>
        <v>R$ 2.784,63</v>
      </c>
    </row>
    <row r="748" spans="1:11" x14ac:dyDescent="0.25">
      <c r="A748" t="str">
        <f>"03642534 / 1"</f>
        <v>03642534 / 1</v>
      </c>
      <c r="B748" t="str">
        <f>"13° Salário Anual"</f>
        <v>13° Salário Anual</v>
      </c>
      <c r="C748" t="str">
        <f>"Jose Jarbas Moraes de Oliveira"</f>
        <v>Jose Jarbas Moraes de Oliveira</v>
      </c>
      <c r="D748" t="str">
        <f>"PENSIONISTA DE PROFESSOR"</f>
        <v>PENSIONISTA DE PROFESSOR</v>
      </c>
      <c r="E748" t="str">
        <f>"Pensionista"</f>
        <v>Pensionista</v>
      </c>
      <c r="F748" t="str">
        <f>"R$ 1.593,46"</f>
        <v>R$ 1.593,46</v>
      </c>
      <c r="G748" t="str">
        <f>"R$ 1.752,80"</f>
        <v>R$ 1.752,80</v>
      </c>
      <c r="H748" t="str">
        <f t="shared" si="62"/>
        <v>R$ 0,00</v>
      </c>
      <c r="I748" t="str">
        <f>"R$ 1.752,80"</f>
        <v>R$ 1.752,80</v>
      </c>
      <c r="J748" t="str">
        <f>"R$ 876,40"</f>
        <v>R$ 876,40</v>
      </c>
      <c r="K748" t="str">
        <f>"R$ 876,40"</f>
        <v>R$ 876,40</v>
      </c>
    </row>
    <row r="749" spans="1:11" x14ac:dyDescent="0.25">
      <c r="A749" t="str">
        <f>"03642534 / 1"</f>
        <v>03642534 / 1</v>
      </c>
      <c r="B749" t="str">
        <f>"Folha Mensal"</f>
        <v>Folha Mensal</v>
      </c>
      <c r="C749" t="str">
        <f>"Jose Jarbas Moraes de Oliveira"</f>
        <v>Jose Jarbas Moraes de Oliveira</v>
      </c>
      <c r="D749" t="str">
        <f>"PENSIONISTA DE PROFESSOR"</f>
        <v>PENSIONISTA DE PROFESSOR</v>
      </c>
      <c r="E749" t="str">
        <f>"Pensionista"</f>
        <v>Pensionista</v>
      </c>
      <c r="F749" t="str">
        <f>"R$ 1.593,46"</f>
        <v>R$ 1.593,46</v>
      </c>
      <c r="G749" t="str">
        <f>"R$ 1.752,80"</f>
        <v>R$ 1.752,80</v>
      </c>
      <c r="H749" t="str">
        <f t="shared" si="62"/>
        <v>R$ 0,00</v>
      </c>
      <c r="I749" t="str">
        <f>"R$ 1.752,80"</f>
        <v>R$ 1.752,80</v>
      </c>
      <c r="J749" t="str">
        <f>"R$ 613,65"</f>
        <v>R$ 613,65</v>
      </c>
      <c r="K749" t="str">
        <f>"R$ 1.139,15"</f>
        <v>R$ 1.139,15</v>
      </c>
    </row>
    <row r="750" spans="1:11" x14ac:dyDescent="0.25">
      <c r="A750" t="str">
        <f>"00000019 / 1"</f>
        <v>00000019 / 1</v>
      </c>
      <c r="B750" t="str">
        <f>"13° Salário Anual"</f>
        <v>13° Salário Anual</v>
      </c>
      <c r="C750" t="str">
        <f>"Jose Julieto Figueiredo Silva"</f>
        <v>Jose Julieto Figueiredo Silva</v>
      </c>
      <c r="D750" t="str">
        <f>"PROP IDADE"</f>
        <v>PROP IDADE</v>
      </c>
      <c r="E750" t="str">
        <f>"Efetivo-Inativo I- RJUSM"</f>
        <v>Efetivo-Inativo I- RJUSM</v>
      </c>
      <c r="F750" t="str">
        <f>"R$ 1.100,00"</f>
        <v>R$ 1.100,00</v>
      </c>
      <c r="G750" t="str">
        <f>"R$ 1.100,00"</f>
        <v>R$ 1.100,00</v>
      </c>
      <c r="H750" t="str">
        <f t="shared" si="62"/>
        <v>R$ 0,00</v>
      </c>
      <c r="I750" t="str">
        <f>"R$ 1.100,00"</f>
        <v>R$ 1.100,00</v>
      </c>
      <c r="J750" t="str">
        <f>"R$ 550,00"</f>
        <v>R$ 550,00</v>
      </c>
      <c r="K750" t="str">
        <f>"R$ 550,00"</f>
        <v>R$ 550,00</v>
      </c>
    </row>
    <row r="751" spans="1:11" x14ac:dyDescent="0.25">
      <c r="A751" t="str">
        <f>"00000019 / 1"</f>
        <v>00000019 / 1</v>
      </c>
      <c r="B751" t="str">
        <f>"Folha Mensal"</f>
        <v>Folha Mensal</v>
      </c>
      <c r="C751" t="str">
        <f>"Jose Julieto Figueiredo Silva"</f>
        <v>Jose Julieto Figueiredo Silva</v>
      </c>
      <c r="D751" t="str">
        <f>"PROP IDADE"</f>
        <v>PROP IDADE</v>
      </c>
      <c r="E751" t="str">
        <f>"Efetivo-Inativo I- RJUSM"</f>
        <v>Efetivo-Inativo I- RJUSM</v>
      </c>
      <c r="F751" t="str">
        <f>"R$ 1.100,00"</f>
        <v>R$ 1.100,00</v>
      </c>
      <c r="G751" t="str">
        <f>"R$ 1.100,00"</f>
        <v>R$ 1.100,00</v>
      </c>
      <c r="H751" t="str">
        <f t="shared" si="62"/>
        <v>R$ 0,00</v>
      </c>
      <c r="I751" t="str">
        <f>"R$ 1.100,00"</f>
        <v>R$ 1.100,00</v>
      </c>
      <c r="J751" t="str">
        <f>"R$ 285,64"</f>
        <v>R$ 285,64</v>
      </c>
      <c r="K751" t="str">
        <f>"R$ 814,36"</f>
        <v>R$ 814,36</v>
      </c>
    </row>
    <row r="752" spans="1:11" x14ac:dyDescent="0.25">
      <c r="A752" t="str">
        <f>"03641252 / 1"</f>
        <v>03641252 / 1</v>
      </c>
      <c r="B752" t="str">
        <f>"13° Salário Anual"</f>
        <v>13° Salário Anual</v>
      </c>
      <c r="C752" t="str">
        <f>"Jose Luiz de Sousa"</f>
        <v>Jose Luiz de Sousa</v>
      </c>
      <c r="D752" t="str">
        <f>"DAS 01"</f>
        <v>DAS 01</v>
      </c>
      <c r="E752" t="str">
        <f t="shared" ref="E752:E757" si="65">"Comissionado"</f>
        <v>Comissionado</v>
      </c>
      <c r="F752" t="str">
        <f>"R$ 1.100,00"</f>
        <v>R$ 1.100,00</v>
      </c>
      <c r="G752" t="str">
        <f>"R$ 825,00"</f>
        <v>R$ 825,00</v>
      </c>
      <c r="H752" t="str">
        <f t="shared" si="62"/>
        <v>R$ 0,00</v>
      </c>
      <c r="I752" t="str">
        <f>"R$ 825,00"</f>
        <v>R$ 825,00</v>
      </c>
      <c r="J752" t="str">
        <f>"R$ 474,37"</f>
        <v>R$ 474,37</v>
      </c>
      <c r="K752" t="str">
        <f>"R$ 350,63"</f>
        <v>R$ 350,63</v>
      </c>
    </row>
    <row r="753" spans="1:11" x14ac:dyDescent="0.25">
      <c r="A753" t="str">
        <f>"03641252 / 1"</f>
        <v>03641252 / 1</v>
      </c>
      <c r="B753" t="str">
        <f>"Folha Mensal"</f>
        <v>Folha Mensal</v>
      </c>
      <c r="C753" t="str">
        <f>"Jose Luiz de Sousa"</f>
        <v>Jose Luiz de Sousa</v>
      </c>
      <c r="D753" t="str">
        <f>"DAS 01"</f>
        <v>DAS 01</v>
      </c>
      <c r="E753" t="str">
        <f t="shared" si="65"/>
        <v>Comissionado</v>
      </c>
      <c r="F753" t="str">
        <f>"R$ 1.100,00"</f>
        <v>R$ 1.100,00</v>
      </c>
      <c r="G753" t="str">
        <f>"R$ 1.100,00"</f>
        <v>R$ 1.100,00</v>
      </c>
      <c r="H753" t="str">
        <f t="shared" si="62"/>
        <v>R$ 0,00</v>
      </c>
      <c r="I753" t="str">
        <f>"R$ 1.100,00"</f>
        <v>R$ 1.100,00</v>
      </c>
      <c r="J753" t="str">
        <f>"R$ 82,50"</f>
        <v>R$ 82,50</v>
      </c>
      <c r="K753" t="str">
        <f>"R$ 1.017,50"</f>
        <v>R$ 1.017,50</v>
      </c>
    </row>
    <row r="754" spans="1:11" x14ac:dyDescent="0.25">
      <c r="A754" t="str">
        <f>"03640612 / 1"</f>
        <v>03640612 / 1</v>
      </c>
      <c r="B754" t="str">
        <f>"13° Salário Anual"</f>
        <v>13° Salário Anual</v>
      </c>
      <c r="C754" t="str">
        <f>"Jose Maria Nilo de Souza"</f>
        <v>Jose Maria Nilo de Souza</v>
      </c>
      <c r="D754" t="str">
        <f>"DAS 08"</f>
        <v>DAS 08</v>
      </c>
      <c r="E754" t="str">
        <f t="shared" si="65"/>
        <v>Comissionado</v>
      </c>
      <c r="F754" t="str">
        <f>"R$ 4.200,00"</f>
        <v>R$ 4.200,00</v>
      </c>
      <c r="G754" t="str">
        <f>"R$ 3.850,00"</f>
        <v>R$ 3.850,00</v>
      </c>
      <c r="H754" t="str">
        <f t="shared" si="62"/>
        <v>R$ 0,00</v>
      </c>
      <c r="I754" t="str">
        <f>"R$ 3.850,00"</f>
        <v>R$ 3.850,00</v>
      </c>
      <c r="J754" t="str">
        <f>"R$ 2.479,42"</f>
        <v>R$ 2.479,42</v>
      </c>
      <c r="K754" t="str">
        <f>"R$ 1.370,58"</f>
        <v>R$ 1.370,58</v>
      </c>
    </row>
    <row r="755" spans="1:11" x14ac:dyDescent="0.25">
      <c r="A755" t="str">
        <f>"03640612 / 1"</f>
        <v>03640612 / 1</v>
      </c>
      <c r="B755" t="str">
        <f>"Folha Mensal"</f>
        <v>Folha Mensal</v>
      </c>
      <c r="C755" t="str">
        <f>"Jose Maria Nilo de Souza"</f>
        <v>Jose Maria Nilo de Souza</v>
      </c>
      <c r="D755" t="str">
        <f>"DAS 08"</f>
        <v>DAS 08</v>
      </c>
      <c r="E755" t="str">
        <f t="shared" si="65"/>
        <v>Comissionado</v>
      </c>
      <c r="F755" t="str">
        <f>"R$ 4.200,00"</f>
        <v>R$ 4.200,00</v>
      </c>
      <c r="G755" t="str">
        <f>"R$ 4.200,00"</f>
        <v>R$ 4.200,00</v>
      </c>
      <c r="H755" t="str">
        <f t="shared" si="62"/>
        <v>R$ 0,00</v>
      </c>
      <c r="I755" t="str">
        <f>"R$ 4.200,00"</f>
        <v>R$ 4.200,00</v>
      </c>
      <c r="J755" t="str">
        <f>"R$ 649,30"</f>
        <v>R$ 649,30</v>
      </c>
      <c r="K755" t="str">
        <f>"R$ 3.550,70"</f>
        <v>R$ 3.550,70</v>
      </c>
    </row>
    <row r="756" spans="1:11" x14ac:dyDescent="0.25">
      <c r="A756" t="str">
        <f>"03641171 / 1"</f>
        <v>03641171 / 1</v>
      </c>
      <c r="B756" t="str">
        <f>"13° Salário Anual"</f>
        <v>13° Salário Anual</v>
      </c>
      <c r="C756" t="str">
        <f>"Jose Orlando Paulino de Souza Filho"</f>
        <v>Jose Orlando Paulino de Souza Filho</v>
      </c>
      <c r="D756" t="str">
        <f>"DAS 05"</f>
        <v>DAS 05</v>
      </c>
      <c r="E756" t="str">
        <f t="shared" si="65"/>
        <v>Comissionado</v>
      </c>
      <c r="F756" t="str">
        <f>"R$ 2.025,00"</f>
        <v>R$ 2.025,00</v>
      </c>
      <c r="G756" t="str">
        <f>"R$ 1.518,75"</f>
        <v>R$ 1.518,75</v>
      </c>
      <c r="H756" t="str">
        <f t="shared" si="62"/>
        <v>R$ 0,00</v>
      </c>
      <c r="I756" t="str">
        <f>"R$ 1.518,75"</f>
        <v>R$ 1.518,75</v>
      </c>
      <c r="J756" t="str">
        <f>"R$ 879,55"</f>
        <v>R$ 879,55</v>
      </c>
      <c r="K756" t="str">
        <f>"R$ 639,20"</f>
        <v>R$ 639,20</v>
      </c>
    </row>
    <row r="757" spans="1:11" x14ac:dyDescent="0.25">
      <c r="A757" t="str">
        <f>"03641171 / 1"</f>
        <v>03641171 / 1</v>
      </c>
      <c r="B757" t="str">
        <f>"Folha Mensal"</f>
        <v>Folha Mensal</v>
      </c>
      <c r="C757" t="str">
        <f>"Jose Orlando Paulino de Souza Filho"</f>
        <v>Jose Orlando Paulino de Souza Filho</v>
      </c>
      <c r="D757" t="str">
        <f>"DAS 05"</f>
        <v>DAS 05</v>
      </c>
      <c r="E757" t="str">
        <f t="shared" si="65"/>
        <v>Comissionado</v>
      </c>
      <c r="F757" t="str">
        <f>"R$ 2.025,00"</f>
        <v>R$ 2.025,00</v>
      </c>
      <c r="G757" t="str">
        <f>"R$ 2.025,00"</f>
        <v>R$ 2.025,00</v>
      </c>
      <c r="H757" t="str">
        <f t="shared" si="62"/>
        <v>R$ 0,00</v>
      </c>
      <c r="I757" t="str">
        <f>"R$ 2.025,00"</f>
        <v>R$ 2.025,00</v>
      </c>
      <c r="J757" t="str">
        <f>"R$ 165,75"</f>
        <v>R$ 165,75</v>
      </c>
      <c r="K757" t="str">
        <f>"R$ 1.859,25"</f>
        <v>R$ 1.859,25</v>
      </c>
    </row>
    <row r="758" spans="1:11" x14ac:dyDescent="0.25">
      <c r="A758" t="str">
        <f>"03642828 / 1"</f>
        <v>03642828 / 1</v>
      </c>
      <c r="B758" t="str">
        <f>"13° Salário Anual"</f>
        <v>13° Salário Anual</v>
      </c>
      <c r="C758" t="str">
        <f>"Jose Raimundo Pinto Teixeira"</f>
        <v>Jose Raimundo Pinto Teixeira</v>
      </c>
      <c r="D758" t="str">
        <f>"PENSIONISTA"</f>
        <v>PENSIONISTA</v>
      </c>
      <c r="E758" t="str">
        <f>"Pensionista"</f>
        <v>Pensionista</v>
      </c>
      <c r="F758" t="str">
        <f>"R$ 1.060,58"</f>
        <v>R$ 1.060,58</v>
      </c>
      <c r="G758" t="str">
        <f>"R$ 1.113,60"</f>
        <v>R$ 1.113,60</v>
      </c>
      <c r="H758" t="str">
        <f t="shared" si="62"/>
        <v>R$ 0,00</v>
      </c>
      <c r="I758" t="str">
        <f>"R$ 1.113,60"</f>
        <v>R$ 1.113,60</v>
      </c>
      <c r="J758" t="str">
        <f>"R$ 556,80"</f>
        <v>R$ 556,80</v>
      </c>
      <c r="K758" t="str">
        <f>"R$ 556,80"</f>
        <v>R$ 556,80</v>
      </c>
    </row>
    <row r="759" spans="1:11" x14ac:dyDescent="0.25">
      <c r="A759" t="str">
        <f>"03642828 / 1"</f>
        <v>03642828 / 1</v>
      </c>
      <c r="B759" t="str">
        <f>"Folha Mensal"</f>
        <v>Folha Mensal</v>
      </c>
      <c r="C759" t="str">
        <f>"Jose Raimundo Pinto Teixeira"</f>
        <v>Jose Raimundo Pinto Teixeira</v>
      </c>
      <c r="D759" t="str">
        <f>"PENSIONISTA"</f>
        <v>PENSIONISTA</v>
      </c>
      <c r="E759" t="str">
        <f>"Pensionista"</f>
        <v>Pensionista</v>
      </c>
      <c r="F759" t="str">
        <f>"R$ 1.060,58"</f>
        <v>R$ 1.060,58</v>
      </c>
      <c r="G759" t="str">
        <f>"R$ 1.113,60"</f>
        <v>R$ 1.113,60</v>
      </c>
      <c r="H759" t="str">
        <f t="shared" si="62"/>
        <v>R$ 0,00</v>
      </c>
      <c r="I759" t="str">
        <f>"R$ 1.113,60"</f>
        <v>R$ 1.113,60</v>
      </c>
      <c r="J759" t="str">
        <f>"R$ 0,00"</f>
        <v>R$ 0,00</v>
      </c>
      <c r="K759" t="str">
        <f>"R$ 1.113,60"</f>
        <v>R$ 1.113,60</v>
      </c>
    </row>
    <row r="760" spans="1:11" x14ac:dyDescent="0.25">
      <c r="A760" t="str">
        <f>"03640531 / 1"</f>
        <v>03640531 / 1</v>
      </c>
      <c r="B760" t="str">
        <f>"13° Salário Anual"</f>
        <v>13° Salário Anual</v>
      </c>
      <c r="C760" t="str">
        <f>"Jose Roberto Lucio da Costa"</f>
        <v>Jose Roberto Lucio da Costa</v>
      </c>
      <c r="D760" t="str">
        <f>"DAS 08"</f>
        <v>DAS 08</v>
      </c>
      <c r="E760" t="str">
        <f>"Comissionado"</f>
        <v>Comissionado</v>
      </c>
      <c r="F760" t="str">
        <f>"R$ 4.200,00"</f>
        <v>R$ 4.200,00</v>
      </c>
      <c r="G760" t="str">
        <f>"R$ 4.200,00"</f>
        <v>R$ 4.200,00</v>
      </c>
      <c r="H760" t="str">
        <f t="shared" si="62"/>
        <v>R$ 0,00</v>
      </c>
      <c r="I760" t="str">
        <f>"R$ 4.200,00"</f>
        <v>R$ 4.200,00</v>
      </c>
      <c r="J760" t="str">
        <f>"R$ 2.749,30"</f>
        <v>R$ 2.749,30</v>
      </c>
      <c r="K760" t="str">
        <f>"R$ 1.450,70"</f>
        <v>R$ 1.450,70</v>
      </c>
    </row>
    <row r="761" spans="1:11" x14ac:dyDescent="0.25">
      <c r="A761" t="str">
        <f>"03640531 / 1"</f>
        <v>03640531 / 1</v>
      </c>
      <c r="B761" t="str">
        <f>"Folha Mensal"</f>
        <v>Folha Mensal</v>
      </c>
      <c r="C761" t="str">
        <f>"Jose Roberto Lucio da Costa"</f>
        <v>Jose Roberto Lucio da Costa</v>
      </c>
      <c r="D761" t="str">
        <f>"DAS 08"</f>
        <v>DAS 08</v>
      </c>
      <c r="E761" t="str">
        <f>"Comissionado"</f>
        <v>Comissionado</v>
      </c>
      <c r="F761" t="str">
        <f>"R$ 4.200,00"</f>
        <v>R$ 4.200,00</v>
      </c>
      <c r="G761" t="str">
        <f>"R$ 4.200,00"</f>
        <v>R$ 4.200,00</v>
      </c>
      <c r="H761" t="str">
        <f t="shared" si="62"/>
        <v>R$ 0,00</v>
      </c>
      <c r="I761" t="str">
        <f>"R$ 4.200,00"</f>
        <v>R$ 4.200,00</v>
      </c>
      <c r="J761" t="str">
        <f>"R$ 649,30"</f>
        <v>R$ 649,30</v>
      </c>
      <c r="K761" t="str">
        <f>"R$ 3.550,70"</f>
        <v>R$ 3.550,70</v>
      </c>
    </row>
    <row r="762" spans="1:11" x14ac:dyDescent="0.25">
      <c r="A762" t="str">
        <f>"00009156 / 1"</f>
        <v>00009156 / 1</v>
      </c>
      <c r="B762" t="str">
        <f>"13° Salário Anual"</f>
        <v>13° Salário Anual</v>
      </c>
      <c r="C762" t="str">
        <f>"Josefa de Araujo Nunes"</f>
        <v>Josefa de Araujo Nunes</v>
      </c>
      <c r="D762" t="str">
        <f>"INT INVALIDEZ"</f>
        <v>INT INVALIDEZ</v>
      </c>
      <c r="E762" t="str">
        <f>"Efetivo-Inativo I- RJUSM"</f>
        <v>Efetivo-Inativo I- RJUSM</v>
      </c>
      <c r="F762" t="str">
        <f>"R$ 1.100,00"</f>
        <v>R$ 1.100,00</v>
      </c>
      <c r="G762" t="str">
        <f>"R$ 1.210,00"</f>
        <v>R$ 1.210,00</v>
      </c>
      <c r="H762" t="str">
        <f t="shared" si="62"/>
        <v>R$ 0,00</v>
      </c>
      <c r="I762" t="str">
        <f>"R$ 1.210,00"</f>
        <v>R$ 1.210,00</v>
      </c>
      <c r="J762" t="str">
        <f>"R$ 605,00"</f>
        <v>R$ 605,00</v>
      </c>
      <c r="K762" t="str">
        <f>"R$ 605,00"</f>
        <v>R$ 605,00</v>
      </c>
    </row>
    <row r="763" spans="1:11" x14ac:dyDescent="0.25">
      <c r="A763" t="str">
        <f>"00009156 / 1"</f>
        <v>00009156 / 1</v>
      </c>
      <c r="B763" t="str">
        <f>"Folha Mensal"</f>
        <v>Folha Mensal</v>
      </c>
      <c r="C763" t="str">
        <f>"Josefa de Araujo Nunes"</f>
        <v>Josefa de Araujo Nunes</v>
      </c>
      <c r="D763" t="str">
        <f>"INT INVALIDEZ"</f>
        <v>INT INVALIDEZ</v>
      </c>
      <c r="E763" t="str">
        <f>"Efetivo-Inativo I- RJUSM"</f>
        <v>Efetivo-Inativo I- RJUSM</v>
      </c>
      <c r="F763" t="str">
        <f>"R$ 1.100,00"</f>
        <v>R$ 1.100,00</v>
      </c>
      <c r="G763" t="str">
        <f>"R$ 1.210,00"</f>
        <v>R$ 1.210,00</v>
      </c>
      <c r="H763" t="str">
        <f t="shared" si="62"/>
        <v>R$ 0,00</v>
      </c>
      <c r="I763" t="str">
        <f>"R$ 1.210,00"</f>
        <v>R$ 1.210,00</v>
      </c>
      <c r="J763" t="str">
        <f>"R$ 423,36"</f>
        <v>R$ 423,36</v>
      </c>
      <c r="K763" t="str">
        <f>"R$ 786,64"</f>
        <v>R$ 786,64</v>
      </c>
    </row>
    <row r="764" spans="1:11" x14ac:dyDescent="0.25">
      <c r="A764" t="str">
        <f>"00028010 / 1"</f>
        <v>00028010 / 1</v>
      </c>
      <c r="B764" t="str">
        <f>"13° Salário Anual"</f>
        <v>13° Salário Anual</v>
      </c>
      <c r="C764" t="str">
        <f>"Josefa Neide de Brito Mota"</f>
        <v>Josefa Neide de Brito Mota</v>
      </c>
      <c r="D764" t="str">
        <f>"PROFESSOR"</f>
        <v>PROFESSOR</v>
      </c>
      <c r="E764" t="str">
        <f>"Efetivo-Inativo I- RJUSM"</f>
        <v>Efetivo-Inativo I- RJUSM</v>
      </c>
      <c r="F764" t="str">
        <f>"R$ 2.071,51"</f>
        <v>R$ 2.071,51</v>
      </c>
      <c r="G764" t="str">
        <f>"R$ 4.660,89"</f>
        <v>R$ 4.660,89</v>
      </c>
      <c r="H764" t="str">
        <f t="shared" si="62"/>
        <v>R$ 0,00</v>
      </c>
      <c r="I764" t="str">
        <f>"R$ 4.660,89"</f>
        <v>R$ 4.660,89</v>
      </c>
      <c r="J764" t="str">
        <f>"R$ 2.330,44"</f>
        <v>R$ 2.330,44</v>
      </c>
      <c r="K764" t="str">
        <f>"R$ 2.330,45"</f>
        <v>R$ 2.330,45</v>
      </c>
    </row>
    <row r="765" spans="1:11" x14ac:dyDescent="0.25">
      <c r="A765" t="str">
        <f>"00028010 / 1"</f>
        <v>00028010 / 1</v>
      </c>
      <c r="B765" t="str">
        <f>"Folha Mensal"</f>
        <v>Folha Mensal</v>
      </c>
      <c r="C765" t="str">
        <f>"Josefa Neide de Brito Mota"</f>
        <v>Josefa Neide de Brito Mota</v>
      </c>
      <c r="D765" t="str">
        <f>"PROFESSOR"</f>
        <v>PROFESSOR</v>
      </c>
      <c r="E765" t="str">
        <f>"Efetivo-Inativo I- RJUSM"</f>
        <v>Efetivo-Inativo I- RJUSM</v>
      </c>
      <c r="F765" t="str">
        <f>"R$ 2.071,51"</f>
        <v>R$ 2.071,51</v>
      </c>
      <c r="G765" t="str">
        <f>"R$ 4.660,89"</f>
        <v>R$ 4.660,89</v>
      </c>
      <c r="H765" t="str">
        <f t="shared" si="62"/>
        <v>R$ 0,00</v>
      </c>
      <c r="I765" t="str">
        <f>"R$ 4.660,89"</f>
        <v>R$ 4.660,89</v>
      </c>
      <c r="J765" t="str">
        <f>"R$ 1.011,62"</f>
        <v>R$ 1.011,62</v>
      </c>
      <c r="K765" t="str">
        <f>"R$ 3.649,27"</f>
        <v>R$ 3.649,27</v>
      </c>
    </row>
    <row r="766" spans="1:11" x14ac:dyDescent="0.25">
      <c r="A766" t="str">
        <f>"00023833 / 1"</f>
        <v>00023833 / 1</v>
      </c>
      <c r="B766" t="str">
        <f>"13° Salário Anual"</f>
        <v>13° Salário Anual</v>
      </c>
      <c r="C766" t="str">
        <f>"Josenilta Nunes Moutinho"</f>
        <v>Josenilta Nunes Moutinho</v>
      </c>
      <c r="D766" t="str">
        <f>"PROFESSOR NIVEL III"</f>
        <v>PROFESSOR NIVEL III</v>
      </c>
      <c r="E766" t="str">
        <f>"Efetivo-Inativos II-RJUSM"</f>
        <v>Efetivo-Inativos II-RJUSM</v>
      </c>
      <c r="F766" t="str">
        <f>"R$ 6.055,18"</f>
        <v>R$ 6.055,18</v>
      </c>
      <c r="G766" t="str">
        <f>"R$ 7.871,73"</f>
        <v>R$ 7.871,73</v>
      </c>
      <c r="H766" t="str">
        <f t="shared" si="62"/>
        <v>R$ 0,00</v>
      </c>
      <c r="I766" t="str">
        <f>"R$ 7.871,73"</f>
        <v>R$ 7.871,73</v>
      </c>
      <c r="J766" t="str">
        <f>"R$ 4.183,75"</f>
        <v>R$ 4.183,75</v>
      </c>
      <c r="K766" t="str">
        <f>"R$ 3.687,98"</f>
        <v>R$ 3.687,98</v>
      </c>
    </row>
    <row r="767" spans="1:11" x14ac:dyDescent="0.25">
      <c r="A767" t="str">
        <f>"00023833 / 1"</f>
        <v>00023833 / 1</v>
      </c>
      <c r="B767" t="str">
        <f>"Folha Mensal"</f>
        <v>Folha Mensal</v>
      </c>
      <c r="C767" t="str">
        <f>"Josenilta Nunes Moutinho"</f>
        <v>Josenilta Nunes Moutinho</v>
      </c>
      <c r="D767" t="str">
        <f>"PROFESSOR NIVEL III"</f>
        <v>PROFESSOR NIVEL III</v>
      </c>
      <c r="E767" t="str">
        <f>"Efetivo-Inativos II-RJUSM"</f>
        <v>Efetivo-Inativos II-RJUSM</v>
      </c>
      <c r="F767" t="str">
        <f>"R$ 6.055,18"</f>
        <v>R$ 6.055,18</v>
      </c>
      <c r="G767" t="str">
        <f>"R$ 7.871,73"</f>
        <v>R$ 7.871,73</v>
      </c>
      <c r="H767" t="str">
        <f t="shared" si="62"/>
        <v>R$ 0,00</v>
      </c>
      <c r="I767" t="str">
        <f>"R$ 7.871,73"</f>
        <v>R$ 7.871,73</v>
      </c>
      <c r="J767" t="str">
        <f>"R$ 2.586,63"</f>
        <v>R$ 2.586,63</v>
      </c>
      <c r="K767" t="str">
        <f>"R$ 5.285,10"</f>
        <v>R$ 5.285,10</v>
      </c>
    </row>
    <row r="768" spans="1:11" x14ac:dyDescent="0.25">
      <c r="A768" t="str">
        <f>"03640841 / 1"</f>
        <v>03640841 / 1</v>
      </c>
      <c r="B768" t="str">
        <f>"13° Salário Anual"</f>
        <v>13° Salário Anual</v>
      </c>
      <c r="C768" t="str">
        <f>"Jucileide Negrao Ferreira"</f>
        <v>Jucileide Negrao Ferreira</v>
      </c>
      <c r="D768" t="str">
        <f>"DAS 07"</f>
        <v>DAS 07</v>
      </c>
      <c r="E768" t="str">
        <f>"Comissionado"</f>
        <v>Comissionado</v>
      </c>
      <c r="F768" t="str">
        <f>"R$ 3.154,55"</f>
        <v>R$ 3.154,55</v>
      </c>
      <c r="G768" t="str">
        <f>"R$ 2.891,67"</f>
        <v>R$ 2.891,67</v>
      </c>
      <c r="H768" t="str">
        <f t="shared" si="62"/>
        <v>R$ 0,00</v>
      </c>
      <c r="I768" t="str">
        <f>"R$ 2.891,67"</f>
        <v>R$ 2.891,67</v>
      </c>
      <c r="J768" t="str">
        <f>"R$ 1.764,46"</f>
        <v>R$ 1.764,46</v>
      </c>
      <c r="K768" t="str">
        <f>"R$ 1.127,21"</f>
        <v>R$ 1.127,21</v>
      </c>
    </row>
    <row r="769" spans="1:11" x14ac:dyDescent="0.25">
      <c r="A769" t="str">
        <f>"03640841 / 1"</f>
        <v>03640841 / 1</v>
      </c>
      <c r="B769" t="str">
        <f>"Folha Mensal"</f>
        <v>Folha Mensal</v>
      </c>
      <c r="C769" t="str">
        <f>"Jucileide Negrao Ferreira"</f>
        <v>Jucileide Negrao Ferreira</v>
      </c>
      <c r="D769" t="str">
        <f>"DAS 07"</f>
        <v>DAS 07</v>
      </c>
      <c r="E769" t="str">
        <f>"Comissionado"</f>
        <v>Comissionado</v>
      </c>
      <c r="F769" t="str">
        <f>"R$ 3.154,55"</f>
        <v>R$ 3.154,55</v>
      </c>
      <c r="G769" t="str">
        <f>"R$ 3.154,55"</f>
        <v>R$ 3.154,55</v>
      </c>
      <c r="H769" t="str">
        <f t="shared" si="62"/>
        <v>R$ 0,00</v>
      </c>
      <c r="I769" t="str">
        <f>"R$ 3.154,55"</f>
        <v>R$ 3.154,55</v>
      </c>
      <c r="J769" t="str">
        <f>"R$ 369,92"</f>
        <v>R$ 369,92</v>
      </c>
      <c r="K769" t="str">
        <f>"R$ 2.784,63"</f>
        <v>R$ 2.784,63</v>
      </c>
    </row>
    <row r="770" spans="1:11" x14ac:dyDescent="0.25">
      <c r="A770" t="str">
        <f>"00002488 / 1"</f>
        <v>00002488 / 1</v>
      </c>
      <c r="B770" t="str">
        <f>"13° Salário Anual"</f>
        <v>13° Salário Anual</v>
      </c>
      <c r="C770" t="str">
        <f>"Julia Duarte de Sousa"</f>
        <v>Julia Duarte de Sousa</v>
      </c>
      <c r="D770" t="str">
        <f>"PROFESSOR NIVEL I"</f>
        <v>PROFESSOR NIVEL I</v>
      </c>
      <c r="E770" t="str">
        <f>"Efetivo-Inativos II-RJUSM"</f>
        <v>Efetivo-Inativos II-RJUSM</v>
      </c>
      <c r="F770" t="str">
        <f>"R$ 4.780,42"</f>
        <v>R$ 4.780,42</v>
      </c>
      <c r="G770" t="str">
        <f>"R$ 6.214,54"</f>
        <v>R$ 6.214,54</v>
      </c>
      <c r="H770" t="str">
        <f t="shared" si="62"/>
        <v>R$ 0,00</v>
      </c>
      <c r="I770" t="str">
        <f>"R$ 6.214,54"</f>
        <v>R$ 6.214,54</v>
      </c>
      <c r="J770" t="str">
        <f>"R$ 3.958,42"</f>
        <v>R$ 3.958,42</v>
      </c>
      <c r="K770" t="str">
        <f>"R$ 2.256,12"</f>
        <v>R$ 2.256,12</v>
      </c>
    </row>
    <row r="771" spans="1:11" x14ac:dyDescent="0.25">
      <c r="A771" t="str">
        <f>"00002488 / 1"</f>
        <v>00002488 / 1</v>
      </c>
      <c r="B771" t="str">
        <f>"Folha Mensal"</f>
        <v>Folha Mensal</v>
      </c>
      <c r="C771" t="str">
        <f>"Julia Duarte de Sousa"</f>
        <v>Julia Duarte de Sousa</v>
      </c>
      <c r="D771" t="str">
        <f>"PROFESSOR NIVEL I"</f>
        <v>PROFESSOR NIVEL I</v>
      </c>
      <c r="E771" t="str">
        <f>"Efetivo-Inativos II-RJUSM"</f>
        <v>Efetivo-Inativos II-RJUSM</v>
      </c>
      <c r="F771" t="str">
        <f>"R$ 4.780,42"</f>
        <v>R$ 4.780,42</v>
      </c>
      <c r="G771" t="str">
        <f>"R$ 6.214,54"</f>
        <v>R$ 6.214,54</v>
      </c>
      <c r="H771" t="str">
        <f t="shared" si="62"/>
        <v>R$ 0,00</v>
      </c>
      <c r="I771" t="str">
        <f>"R$ 6.214,54"</f>
        <v>R$ 6.214,54</v>
      </c>
      <c r="J771" t="str">
        <f>"R$ 2.370,09"</f>
        <v>R$ 2.370,09</v>
      </c>
      <c r="K771" t="str">
        <f>"R$ 3.844,45"</f>
        <v>R$ 3.844,45</v>
      </c>
    </row>
    <row r="772" spans="1:11" x14ac:dyDescent="0.25">
      <c r="A772" t="str">
        <f>"00014826 / 1"</f>
        <v>00014826 / 1</v>
      </c>
      <c r="B772" t="str">
        <f>"13° Salário Anual"</f>
        <v>13° Salário Anual</v>
      </c>
      <c r="C772" t="str">
        <f>"Julia Silva de Amorim"</f>
        <v>Julia Silva de Amorim</v>
      </c>
      <c r="D772" t="str">
        <f>"PROP IDADE"</f>
        <v>PROP IDADE</v>
      </c>
      <c r="E772" t="str">
        <f>"Efetivo-Inativo I- RJUSM"</f>
        <v>Efetivo-Inativo I- RJUSM</v>
      </c>
      <c r="F772" t="str">
        <f>"R$ 1.100,00"</f>
        <v>R$ 1.100,00</v>
      </c>
      <c r="G772" t="str">
        <f>"R$ 1.100,00"</f>
        <v>R$ 1.100,00</v>
      </c>
      <c r="H772" t="str">
        <f t="shared" si="62"/>
        <v>R$ 0,00</v>
      </c>
      <c r="I772" t="str">
        <f>"R$ 1.100,00"</f>
        <v>R$ 1.100,00</v>
      </c>
      <c r="J772" t="str">
        <f>"R$ 550,00"</f>
        <v>R$ 550,00</v>
      </c>
      <c r="K772" t="str">
        <f>"R$ 550,00"</f>
        <v>R$ 550,00</v>
      </c>
    </row>
    <row r="773" spans="1:11" x14ac:dyDescent="0.25">
      <c r="A773" t="str">
        <f>"00014826 / 1"</f>
        <v>00014826 / 1</v>
      </c>
      <c r="B773" t="str">
        <f>"Folha Mensal"</f>
        <v>Folha Mensal</v>
      </c>
      <c r="C773" t="str">
        <f>"Julia Silva de Amorim"</f>
        <v>Julia Silva de Amorim</v>
      </c>
      <c r="D773" t="str">
        <f>"PROP IDADE"</f>
        <v>PROP IDADE</v>
      </c>
      <c r="E773" t="str">
        <f>"Efetivo-Inativo I- RJUSM"</f>
        <v>Efetivo-Inativo I- RJUSM</v>
      </c>
      <c r="F773" t="str">
        <f>"R$ 1.100,00"</f>
        <v>R$ 1.100,00</v>
      </c>
      <c r="G773" t="str">
        <f>"R$ 1.100,00"</f>
        <v>R$ 1.100,00</v>
      </c>
      <c r="H773" t="str">
        <f t="shared" si="62"/>
        <v>R$ 0,00</v>
      </c>
      <c r="I773" t="str">
        <f>"R$ 1.100,00"</f>
        <v>R$ 1.100,00</v>
      </c>
      <c r="J773" t="str">
        <f>"R$ 0,00"</f>
        <v>R$ 0,00</v>
      </c>
      <c r="K773" t="str">
        <f>"R$ 1.100,00"</f>
        <v>R$ 1.100,00</v>
      </c>
    </row>
    <row r="774" spans="1:11" x14ac:dyDescent="0.25">
      <c r="A774" t="str">
        <f>"03642542 / 1"</f>
        <v>03642542 / 1</v>
      </c>
      <c r="B774" t="str">
        <f>"13° Salário Anual"</f>
        <v>13° Salário Anual</v>
      </c>
      <c r="C774" t="str">
        <f>"Julier Teixeira Lisboa"</f>
        <v>Julier Teixeira Lisboa</v>
      </c>
      <c r="D774" t="str">
        <f>"PENSIONISTA DE PROFESSOR"</f>
        <v>PENSIONISTA DE PROFESSOR</v>
      </c>
      <c r="E774" t="str">
        <f>"Pensionista"</f>
        <v>Pensionista</v>
      </c>
      <c r="F774" t="str">
        <f>"R$ 1.593,46"</f>
        <v>R$ 1.593,46</v>
      </c>
      <c r="G774" t="str">
        <f>"R$ 1.912,15"</f>
        <v>R$ 1.912,15</v>
      </c>
      <c r="H774" t="str">
        <f t="shared" si="62"/>
        <v>R$ 0,00</v>
      </c>
      <c r="I774" t="str">
        <f>"R$ 1.912,15"</f>
        <v>R$ 1.912,15</v>
      </c>
      <c r="J774" t="str">
        <f>"R$ 956,07"</f>
        <v>R$ 956,07</v>
      </c>
      <c r="K774" t="str">
        <f>"R$ 956,08"</f>
        <v>R$ 956,08</v>
      </c>
    </row>
    <row r="775" spans="1:11" x14ac:dyDescent="0.25">
      <c r="A775" t="str">
        <f>"03642542 / 1"</f>
        <v>03642542 / 1</v>
      </c>
      <c r="B775" t="str">
        <f>"Folha Mensal"</f>
        <v>Folha Mensal</v>
      </c>
      <c r="C775" t="str">
        <f>"Julier Teixeira Lisboa"</f>
        <v>Julier Teixeira Lisboa</v>
      </c>
      <c r="D775" t="str">
        <f>"PENSIONISTA DE PROFESSOR"</f>
        <v>PENSIONISTA DE PROFESSOR</v>
      </c>
      <c r="E775" t="str">
        <f>"Pensionista"</f>
        <v>Pensionista</v>
      </c>
      <c r="F775" t="str">
        <f>"R$ 1.593,46"</f>
        <v>R$ 1.593,46</v>
      </c>
      <c r="G775" t="str">
        <f>"R$ 1.912,15"</f>
        <v>R$ 1.912,15</v>
      </c>
      <c r="H775" t="str">
        <f t="shared" si="62"/>
        <v>R$ 0,00</v>
      </c>
      <c r="I775" t="str">
        <f>"R$ 1.912,15"</f>
        <v>R$ 1.912,15</v>
      </c>
      <c r="J775" t="str">
        <f>"R$ 0,00"</f>
        <v>R$ 0,00</v>
      </c>
      <c r="K775" t="str">
        <f>"R$ 1.912,15"</f>
        <v>R$ 1.912,15</v>
      </c>
    </row>
    <row r="776" spans="1:11" x14ac:dyDescent="0.25">
      <c r="A776" t="str">
        <f>"00054127 / 1"</f>
        <v>00054127 / 1</v>
      </c>
      <c r="B776" t="str">
        <f>"13° Salário Anual"</f>
        <v>13° Salário Anual</v>
      </c>
      <c r="C776" t="str">
        <f>"Juraci Barroso Margalho"</f>
        <v>Juraci Barroso Margalho</v>
      </c>
      <c r="D776" t="str">
        <f>"INT TEMP SERVICO"</f>
        <v>INT TEMP SERVICO</v>
      </c>
      <c r="E776" t="str">
        <f>"Efetivo-Inativo I- RJUSM"</f>
        <v>Efetivo-Inativo I- RJUSM</v>
      </c>
      <c r="F776" t="str">
        <f>"R$ 6.567,00"</f>
        <v>R$ 6.567,00</v>
      </c>
      <c r="G776" t="str">
        <f>"R$ 7.223,70"</f>
        <v>R$ 7.223,70</v>
      </c>
      <c r="H776" t="str">
        <f t="shared" si="62"/>
        <v>R$ 0,00</v>
      </c>
      <c r="I776" t="str">
        <f>"R$ 7.223,70"</f>
        <v>R$ 7.223,70</v>
      </c>
      <c r="J776" t="str">
        <f>"R$ 4.627,84"</f>
        <v>R$ 4.627,84</v>
      </c>
      <c r="K776" t="str">
        <f>"R$ 2.595,86"</f>
        <v>R$ 2.595,86</v>
      </c>
    </row>
    <row r="777" spans="1:11" x14ac:dyDescent="0.25">
      <c r="A777" t="str">
        <f>"00054127 / 1"</f>
        <v>00054127 / 1</v>
      </c>
      <c r="B777" t="str">
        <f>"Folha Mensal"</f>
        <v>Folha Mensal</v>
      </c>
      <c r="C777" t="str">
        <f>"Juraci Barroso Margalho"</f>
        <v>Juraci Barroso Margalho</v>
      </c>
      <c r="D777" t="str">
        <f>"INT TEMP SERVICO"</f>
        <v>INT TEMP SERVICO</v>
      </c>
      <c r="E777" t="str">
        <f>"Efetivo-Inativo I- RJUSM"</f>
        <v>Efetivo-Inativo I- RJUSM</v>
      </c>
      <c r="F777" t="str">
        <f>"R$ 6.567,00"</f>
        <v>R$ 6.567,00</v>
      </c>
      <c r="G777" t="str">
        <f>"R$ 7.223,70"</f>
        <v>R$ 7.223,70</v>
      </c>
      <c r="H777" t="str">
        <f t="shared" si="62"/>
        <v>R$ 0,00</v>
      </c>
      <c r="I777" t="str">
        <f>"R$ 7.223,70"</f>
        <v>R$ 7.223,70</v>
      </c>
      <c r="J777" t="str">
        <f>"R$ 1.284,19"</f>
        <v>R$ 1.284,19</v>
      </c>
      <c r="K777" t="str">
        <f>"R$ 5.939,51"</f>
        <v>R$ 5.939,51</v>
      </c>
    </row>
    <row r="778" spans="1:11" x14ac:dyDescent="0.25">
      <c r="A778" t="str">
        <f>"00015288 / 2"</f>
        <v>00015288 / 2</v>
      </c>
      <c r="B778" t="str">
        <f>"13° Salário Anual"</f>
        <v>13° Salário Anual</v>
      </c>
      <c r="C778" t="str">
        <f>"Katia Sueli Delgado da Silva"</f>
        <v>Katia Sueli Delgado da Silva</v>
      </c>
      <c r="D778" t="str">
        <f>"PROFESSOR NIVEL II"</f>
        <v>PROFESSOR NIVEL II</v>
      </c>
      <c r="E778" t="str">
        <f>"Efetivo-Inativos II-RJUSM"</f>
        <v>Efetivo-Inativos II-RJUSM</v>
      </c>
      <c r="F778" t="str">
        <f>"R$ 2.788,56"</f>
        <v>R$ 2.788,56</v>
      </c>
      <c r="G778" t="str">
        <f>"R$ 3.485,70"</f>
        <v>R$ 3.485,70</v>
      </c>
      <c r="H778" t="str">
        <f t="shared" si="62"/>
        <v>R$ 0,00</v>
      </c>
      <c r="I778" t="str">
        <f>"R$ 3.485,70"</f>
        <v>R$ 3.485,70</v>
      </c>
      <c r="J778" t="str">
        <f>"R$ 1.854,02"</f>
        <v>R$ 1.854,02</v>
      </c>
      <c r="K778" t="str">
        <f>"R$ 1.631,68"</f>
        <v>R$ 1.631,68</v>
      </c>
    </row>
    <row r="779" spans="1:11" x14ac:dyDescent="0.25">
      <c r="A779" t="str">
        <f>"00015288 / 2"</f>
        <v>00015288 / 2</v>
      </c>
      <c r="B779" t="str">
        <f>"Folha Mensal"</f>
        <v>Folha Mensal</v>
      </c>
      <c r="C779" t="str">
        <f>"Katia Sueli Delgado da Silva"</f>
        <v>Katia Sueli Delgado da Silva</v>
      </c>
      <c r="D779" t="str">
        <f>"PROFESSOR NIVEL II"</f>
        <v>PROFESSOR NIVEL II</v>
      </c>
      <c r="E779" t="str">
        <f>"Efetivo-Inativos II-RJUSM"</f>
        <v>Efetivo-Inativos II-RJUSM</v>
      </c>
      <c r="F779" t="str">
        <f>"R$ 2.788,56"</f>
        <v>R$ 2.788,56</v>
      </c>
      <c r="G779" t="str">
        <f>"R$ 3.485,70"</f>
        <v>R$ 3.485,70</v>
      </c>
      <c r="H779" t="str">
        <f t="shared" si="62"/>
        <v>R$ 0,00</v>
      </c>
      <c r="I779" t="str">
        <f>"R$ 3.485,70"</f>
        <v>R$ 3.485,70</v>
      </c>
      <c r="J779" t="str">
        <f>"R$ 1.129,56"</f>
        <v>R$ 1.129,56</v>
      </c>
      <c r="K779" t="str">
        <f>"R$ 2.356,14"</f>
        <v>R$ 2.356,14</v>
      </c>
    </row>
    <row r="780" spans="1:11" x14ac:dyDescent="0.25">
      <c r="A780" t="str">
        <f>"03640124 / 1"</f>
        <v>03640124 / 1</v>
      </c>
      <c r="B780" t="str">
        <f>"13° Salário Anual"</f>
        <v>13° Salário Anual</v>
      </c>
      <c r="C780" t="str">
        <f>"Késia Vitoria Sousa Dias Nascimento"</f>
        <v>Késia Vitoria Sousa Dias Nascimento</v>
      </c>
      <c r="D780" t="str">
        <f>"PENS ATE 13/06/28"</f>
        <v>PENS ATE 13/06/28</v>
      </c>
      <c r="E780" t="str">
        <f>"Pensionista"</f>
        <v>Pensionista</v>
      </c>
      <c r="F780" t="str">
        <f>"R$ 277,42"</f>
        <v>R$ 277,42</v>
      </c>
      <c r="G780" t="str">
        <f>"R$ 582,58"</f>
        <v>R$ 582,58</v>
      </c>
      <c r="H780" t="str">
        <f t="shared" si="62"/>
        <v>R$ 0,00</v>
      </c>
      <c r="I780" t="str">
        <f>"R$ 582,58"</f>
        <v>R$ 582,58</v>
      </c>
      <c r="J780" t="str">
        <f>"R$ 291,29"</f>
        <v>R$ 291,29</v>
      </c>
      <c r="K780" t="str">
        <f>"R$ 291,29"</f>
        <v>R$ 291,29</v>
      </c>
    </row>
    <row r="781" spans="1:11" x14ac:dyDescent="0.25">
      <c r="A781" t="str">
        <f>"03640124 / 1"</f>
        <v>03640124 / 1</v>
      </c>
      <c r="B781" t="str">
        <f>"Folha Mensal"</f>
        <v>Folha Mensal</v>
      </c>
      <c r="C781" t="str">
        <f>"Késia Vitoria Sousa Dias Nascimento"</f>
        <v>Késia Vitoria Sousa Dias Nascimento</v>
      </c>
      <c r="D781" t="str">
        <f>"PENS ATE 13/06/28"</f>
        <v>PENS ATE 13/06/28</v>
      </c>
      <c r="E781" t="str">
        <f>"Pensionista"</f>
        <v>Pensionista</v>
      </c>
      <c r="F781" t="str">
        <f>"R$ 277,42"</f>
        <v>R$ 277,42</v>
      </c>
      <c r="G781" t="str">
        <f>"R$ 582,58"</f>
        <v>R$ 582,58</v>
      </c>
      <c r="H781" t="str">
        <f t="shared" si="62"/>
        <v>R$ 0,00</v>
      </c>
      <c r="I781" t="str">
        <f>"R$ 582,58"</f>
        <v>R$ 582,58</v>
      </c>
      <c r="J781" t="str">
        <f>"R$ 0,00"</f>
        <v>R$ 0,00</v>
      </c>
      <c r="K781" t="str">
        <f>"R$ 582,58"</f>
        <v>R$ 582,58</v>
      </c>
    </row>
    <row r="782" spans="1:11" x14ac:dyDescent="0.25">
      <c r="A782" t="str">
        <f>"03640132 / 1"</f>
        <v>03640132 / 1</v>
      </c>
      <c r="B782" t="str">
        <f>"13° Salário Anual"</f>
        <v>13° Salário Anual</v>
      </c>
      <c r="C782" t="str">
        <f>"Klara Antonella Sousa Dias Nascimento"</f>
        <v>Klara Antonella Sousa Dias Nascimento</v>
      </c>
      <c r="D782" t="str">
        <f>"PENS TEMP ATE 01/03/2040"</f>
        <v>PENS TEMP ATE 01/03/2040</v>
      </c>
      <c r="E782" t="str">
        <f>"Pensionista"</f>
        <v>Pensionista</v>
      </c>
      <c r="F782" t="str">
        <f>"R$ 277,42"</f>
        <v>R$ 277,42</v>
      </c>
      <c r="G782" t="str">
        <f>"R$ 582,58"</f>
        <v>R$ 582,58</v>
      </c>
      <c r="H782" t="str">
        <f t="shared" si="62"/>
        <v>R$ 0,00</v>
      </c>
      <c r="I782" t="str">
        <f>"R$ 582,58"</f>
        <v>R$ 582,58</v>
      </c>
      <c r="J782" t="str">
        <f>"R$ 291,29"</f>
        <v>R$ 291,29</v>
      </c>
      <c r="K782" t="str">
        <f>"R$ 291,29"</f>
        <v>R$ 291,29</v>
      </c>
    </row>
    <row r="783" spans="1:11" x14ac:dyDescent="0.25">
      <c r="A783" t="str">
        <f>"03640132 / 1"</f>
        <v>03640132 / 1</v>
      </c>
      <c r="B783" t="str">
        <f>"Folha Mensal"</f>
        <v>Folha Mensal</v>
      </c>
      <c r="C783" t="str">
        <f>"Klara Antonella Sousa Dias Nascimento"</f>
        <v>Klara Antonella Sousa Dias Nascimento</v>
      </c>
      <c r="D783" t="str">
        <f>"PENS TEMP ATE 01/03/2040"</f>
        <v>PENS TEMP ATE 01/03/2040</v>
      </c>
      <c r="E783" t="str">
        <f>"Pensionista"</f>
        <v>Pensionista</v>
      </c>
      <c r="F783" t="str">
        <f>"R$ 277,42"</f>
        <v>R$ 277,42</v>
      </c>
      <c r="G783" t="str">
        <f>"R$ 582,58"</f>
        <v>R$ 582,58</v>
      </c>
      <c r="H783" t="str">
        <f t="shared" si="62"/>
        <v>R$ 0,00</v>
      </c>
      <c r="I783" t="str">
        <f>"R$ 582,58"</f>
        <v>R$ 582,58</v>
      </c>
      <c r="J783" t="str">
        <f>"R$ 0,00"</f>
        <v>R$ 0,00</v>
      </c>
      <c r="K783" t="str">
        <f>"R$ 582,58"</f>
        <v>R$ 582,58</v>
      </c>
    </row>
    <row r="784" spans="1:11" x14ac:dyDescent="0.25">
      <c r="A784" t="str">
        <f>"03641678 / 1"</f>
        <v>03641678 / 1</v>
      </c>
      <c r="B784" t="str">
        <f>"13° Salário Anual"</f>
        <v>13° Salário Anual</v>
      </c>
      <c r="C784" t="str">
        <f>"Lanna Serrao Fortes"</f>
        <v>Lanna Serrao Fortes</v>
      </c>
      <c r="D784" t="str">
        <f>"DAS 08"</f>
        <v>DAS 08</v>
      </c>
      <c r="E784" t="str">
        <f>"Comissionado"</f>
        <v>Comissionado</v>
      </c>
      <c r="F784" t="str">
        <f>"R$ 4.200,00"</f>
        <v>R$ 4.200,00</v>
      </c>
      <c r="G784" t="str">
        <f>"R$ 1.750,00"</f>
        <v>R$ 1.750,00</v>
      </c>
      <c r="H784" t="str">
        <f t="shared" si="62"/>
        <v>R$ 0,00</v>
      </c>
      <c r="I784" t="str">
        <f>"R$ 1.750,00"</f>
        <v>R$ 1.750,00</v>
      </c>
      <c r="J784" t="str">
        <f>"R$ 1.016,00"</f>
        <v>R$ 1.016,00</v>
      </c>
      <c r="K784" t="str">
        <f>"R$ 734,00"</f>
        <v>R$ 734,00</v>
      </c>
    </row>
    <row r="785" spans="1:11" x14ac:dyDescent="0.25">
      <c r="A785" t="str">
        <f>"03641678 / 1"</f>
        <v>03641678 / 1</v>
      </c>
      <c r="B785" t="str">
        <f>"Folha Mensal"</f>
        <v>Folha Mensal</v>
      </c>
      <c r="C785" t="str">
        <f>"Lanna Serrao Fortes"</f>
        <v>Lanna Serrao Fortes</v>
      </c>
      <c r="D785" t="str">
        <f>"DAS 08"</f>
        <v>DAS 08</v>
      </c>
      <c r="E785" t="str">
        <f>"Comissionado"</f>
        <v>Comissionado</v>
      </c>
      <c r="F785" t="str">
        <f>"R$ 4.200,00"</f>
        <v>R$ 4.200,00</v>
      </c>
      <c r="G785" t="str">
        <f>"R$ 4.200,00"</f>
        <v>R$ 4.200,00</v>
      </c>
      <c r="H785" t="str">
        <f t="shared" si="62"/>
        <v>R$ 0,00</v>
      </c>
      <c r="I785" t="str">
        <f>"R$ 4.200,00"</f>
        <v>R$ 4.200,00</v>
      </c>
      <c r="J785" t="str">
        <f>"R$ 649,30"</f>
        <v>R$ 649,30</v>
      </c>
      <c r="K785" t="str">
        <f>"R$ 3.550,70"</f>
        <v>R$ 3.550,70</v>
      </c>
    </row>
    <row r="786" spans="1:11" x14ac:dyDescent="0.25">
      <c r="A786" t="str">
        <f>"00052914 / 2"</f>
        <v>00052914 / 2</v>
      </c>
      <c r="B786" t="str">
        <f>"13° Salário Anual"</f>
        <v>13° Salário Anual</v>
      </c>
      <c r="C786" t="str">
        <f>"Laura Claudia Gama Braganca"</f>
        <v>Laura Claudia Gama Braganca</v>
      </c>
      <c r="D786" t="str">
        <f>"PROFESSOR NIVEL III"</f>
        <v>PROFESSOR NIVEL III</v>
      </c>
      <c r="E786" t="str">
        <f>"Efetivo-Inativos II-RJUSM"</f>
        <v>Efetivo-Inativos II-RJUSM</v>
      </c>
      <c r="F786" t="str">
        <f>"R$ 5.736,47"</f>
        <v>R$ 5.736,47</v>
      </c>
      <c r="G786" t="str">
        <f>"R$ 7.170,58"</f>
        <v>R$ 7.170,58</v>
      </c>
      <c r="H786" t="str">
        <f t="shared" si="62"/>
        <v>R$ 0,00</v>
      </c>
      <c r="I786" t="str">
        <f>"R$ 7.170,58"</f>
        <v>R$ 7.170,58</v>
      </c>
      <c r="J786" t="str">
        <f>"R$ 4.796,39"</f>
        <v>R$ 4.796,39</v>
      </c>
      <c r="K786" t="str">
        <f>"R$ 2.374,19"</f>
        <v>R$ 2.374,19</v>
      </c>
    </row>
    <row r="787" spans="1:11" x14ac:dyDescent="0.25">
      <c r="A787" t="str">
        <f>"00052914 / 2"</f>
        <v>00052914 / 2</v>
      </c>
      <c r="B787" t="str">
        <f>"Folha Mensal"</f>
        <v>Folha Mensal</v>
      </c>
      <c r="C787" t="str">
        <f>"Laura Claudia Gama Braganca"</f>
        <v>Laura Claudia Gama Braganca</v>
      </c>
      <c r="D787" t="str">
        <f>"PROFESSOR NIVEL III"</f>
        <v>PROFESSOR NIVEL III</v>
      </c>
      <c r="E787" t="str">
        <f>"Efetivo-Inativos II-RJUSM"</f>
        <v>Efetivo-Inativos II-RJUSM</v>
      </c>
      <c r="F787" t="str">
        <f>"R$ 5.736,47"</f>
        <v>R$ 5.736,47</v>
      </c>
      <c r="G787" t="str">
        <f>"R$ 7.170,58"</f>
        <v>R$ 7.170,58</v>
      </c>
      <c r="H787" t="str">
        <f t="shared" si="62"/>
        <v>R$ 0,00</v>
      </c>
      <c r="I787" t="str">
        <f>"R$ 7.170,58"</f>
        <v>R$ 7.170,58</v>
      </c>
      <c r="J787" t="str">
        <f>"R$ 1.211,10"</f>
        <v>R$ 1.211,10</v>
      </c>
      <c r="K787" t="str">
        <f>"R$ 5.959,48"</f>
        <v>R$ 5.959,48</v>
      </c>
    </row>
    <row r="788" spans="1:11" x14ac:dyDescent="0.25">
      <c r="A788" t="str">
        <f>"00022217 / 1"</f>
        <v>00022217 / 1</v>
      </c>
      <c r="B788" t="str">
        <f>"13° Salário Anual"</f>
        <v>13° Salário Anual</v>
      </c>
      <c r="C788" t="str">
        <f>"Laura Silva da Luz"</f>
        <v>Laura Silva da Luz</v>
      </c>
      <c r="D788" t="str">
        <f>"PROP IDADE"</f>
        <v>PROP IDADE</v>
      </c>
      <c r="E788" t="str">
        <f t="shared" ref="E788:E799" si="66">"Efetivo-Inativo I- RJUSM"</f>
        <v>Efetivo-Inativo I- RJUSM</v>
      </c>
      <c r="F788" t="str">
        <f>"R$ 1.100,00"</f>
        <v>R$ 1.100,00</v>
      </c>
      <c r="G788" t="str">
        <f>"R$ 1.100,00"</f>
        <v>R$ 1.100,00</v>
      </c>
      <c r="H788" t="str">
        <f t="shared" si="62"/>
        <v>R$ 0,00</v>
      </c>
      <c r="I788" t="str">
        <f>"R$ 1.100,00"</f>
        <v>R$ 1.100,00</v>
      </c>
      <c r="J788" t="str">
        <f>"R$ 550,00"</f>
        <v>R$ 550,00</v>
      </c>
      <c r="K788" t="str">
        <f>"R$ 550,00"</f>
        <v>R$ 550,00</v>
      </c>
    </row>
    <row r="789" spans="1:11" x14ac:dyDescent="0.25">
      <c r="A789" t="str">
        <f>"00022217 / 1"</f>
        <v>00022217 / 1</v>
      </c>
      <c r="B789" t="str">
        <f>"Folha Mensal"</f>
        <v>Folha Mensal</v>
      </c>
      <c r="C789" t="str">
        <f>"Laura Silva da Luz"</f>
        <v>Laura Silva da Luz</v>
      </c>
      <c r="D789" t="str">
        <f>"PROP IDADE"</f>
        <v>PROP IDADE</v>
      </c>
      <c r="E789" t="str">
        <f t="shared" si="66"/>
        <v>Efetivo-Inativo I- RJUSM</v>
      </c>
      <c r="F789" t="str">
        <f>"R$ 1.100,00"</f>
        <v>R$ 1.100,00</v>
      </c>
      <c r="G789" t="str">
        <f>"R$ 1.100,00"</f>
        <v>R$ 1.100,00</v>
      </c>
      <c r="H789" t="str">
        <f t="shared" si="62"/>
        <v>R$ 0,00</v>
      </c>
      <c r="I789" t="str">
        <f>"R$ 1.100,00"</f>
        <v>R$ 1.100,00</v>
      </c>
      <c r="J789" t="str">
        <f>"R$ 0,00"</f>
        <v>R$ 0,00</v>
      </c>
      <c r="K789" t="str">
        <f>"R$ 1.100,00"</f>
        <v>R$ 1.100,00</v>
      </c>
    </row>
    <row r="790" spans="1:11" x14ac:dyDescent="0.25">
      <c r="A790" t="str">
        <f>"00023647 / 1"</f>
        <v>00023647 / 1</v>
      </c>
      <c r="B790" t="str">
        <f>"13° Salário Anual"</f>
        <v>13° Salário Anual</v>
      </c>
      <c r="C790" t="str">
        <f>"Laurileia Oliveira dos Santos"</f>
        <v>Laurileia Oliveira dos Santos</v>
      </c>
      <c r="D790" t="str">
        <f>"PROFESSOR"</f>
        <v>PROFESSOR</v>
      </c>
      <c r="E790" t="str">
        <f t="shared" si="66"/>
        <v>Efetivo-Inativo I- RJUSM</v>
      </c>
      <c r="F790" t="str">
        <f>"R$ 2.071,51"</f>
        <v>R$ 2.071,51</v>
      </c>
      <c r="G790" t="str">
        <f>"R$ 2.589,38"</f>
        <v>R$ 2.589,38</v>
      </c>
      <c r="H790" t="str">
        <f t="shared" si="62"/>
        <v>R$ 0,00</v>
      </c>
      <c r="I790" t="str">
        <f>"R$ 2.589,38"</f>
        <v>R$ 2.589,38</v>
      </c>
      <c r="J790" t="str">
        <f>"R$ 1.331,87"</f>
        <v>R$ 1.331,87</v>
      </c>
      <c r="K790" t="str">
        <f>"R$ 1.257,51"</f>
        <v>R$ 1.257,51</v>
      </c>
    </row>
    <row r="791" spans="1:11" x14ac:dyDescent="0.25">
      <c r="A791" t="str">
        <f>"00023647 / 1"</f>
        <v>00023647 / 1</v>
      </c>
      <c r="B791" t="str">
        <f>"Folha Mensal"</f>
        <v>Folha Mensal</v>
      </c>
      <c r="C791" t="str">
        <f>"Laurileia Oliveira dos Santos"</f>
        <v>Laurileia Oliveira dos Santos</v>
      </c>
      <c r="D791" t="str">
        <f>"PROFESSOR"</f>
        <v>PROFESSOR</v>
      </c>
      <c r="E791" t="str">
        <f t="shared" si="66"/>
        <v>Efetivo-Inativo I- RJUSM</v>
      </c>
      <c r="F791" t="str">
        <f>"R$ 2.071,51"</f>
        <v>R$ 2.071,51</v>
      </c>
      <c r="G791" t="str">
        <f>"R$ 2.589,38"</f>
        <v>R$ 2.589,38</v>
      </c>
      <c r="H791" t="str">
        <f t="shared" si="62"/>
        <v>R$ 0,00</v>
      </c>
      <c r="I791" t="str">
        <f>"R$ 2.589,38"</f>
        <v>R$ 2.589,38</v>
      </c>
      <c r="J791" t="str">
        <f>"R$ 37,18"</f>
        <v>R$ 37,18</v>
      </c>
      <c r="K791" t="str">
        <f>"R$ 2.552,20"</f>
        <v>R$ 2.552,20</v>
      </c>
    </row>
    <row r="792" spans="1:11" x14ac:dyDescent="0.25">
      <c r="A792" t="str">
        <f>"00319490 / 2"</f>
        <v>00319490 / 2</v>
      </c>
      <c r="B792" t="str">
        <f>"13° Salário Anual"</f>
        <v>13° Salário Anual</v>
      </c>
      <c r="C792" t="str">
        <f>"Laurinda Chagas da Silva"</f>
        <v>Laurinda Chagas da Silva</v>
      </c>
      <c r="D792" t="str">
        <f>"PROFESSOR"</f>
        <v>PROFESSOR</v>
      </c>
      <c r="E792" t="str">
        <f t="shared" si="66"/>
        <v>Efetivo-Inativo I- RJUSM</v>
      </c>
      <c r="F792" t="str">
        <f>"R$ 5.736,46"</f>
        <v>R$ 5.736,46</v>
      </c>
      <c r="G792" t="str">
        <f>"R$ 7.170,57"</f>
        <v>R$ 7.170,57</v>
      </c>
      <c r="H792" t="str">
        <f t="shared" si="62"/>
        <v>R$ 0,00</v>
      </c>
      <c r="I792" t="str">
        <f>"R$ 7.170,57"</f>
        <v>R$ 7.170,57</v>
      </c>
      <c r="J792" t="str">
        <f>"R$ 3.735,01"</f>
        <v>R$ 3.735,01</v>
      </c>
      <c r="K792" t="str">
        <f>"R$ 3.435,56"</f>
        <v>R$ 3.435,56</v>
      </c>
    </row>
    <row r="793" spans="1:11" x14ac:dyDescent="0.25">
      <c r="A793" t="str">
        <f>"00319490 / 2"</f>
        <v>00319490 / 2</v>
      </c>
      <c r="B793" t="str">
        <f>"Folha Mensal"</f>
        <v>Folha Mensal</v>
      </c>
      <c r="C793" t="str">
        <f>"Laurinda Chagas da Silva"</f>
        <v>Laurinda Chagas da Silva</v>
      </c>
      <c r="D793" t="str">
        <f>"PROFESSOR"</f>
        <v>PROFESSOR</v>
      </c>
      <c r="E793" t="str">
        <f t="shared" si="66"/>
        <v>Efetivo-Inativo I- RJUSM</v>
      </c>
      <c r="F793" t="str">
        <f>"R$ 5.736,46"</f>
        <v>R$ 5.736,46</v>
      </c>
      <c r="G793" t="str">
        <f>"R$ 7.170,57"</f>
        <v>R$ 7.170,57</v>
      </c>
      <c r="H793" t="str">
        <f t="shared" si="62"/>
        <v>R$ 0,00</v>
      </c>
      <c r="I793" t="str">
        <f>"R$ 7.170,57"</f>
        <v>R$ 7.170,57</v>
      </c>
      <c r="J793" t="str">
        <f>"R$ 1.215,18"</f>
        <v>R$ 1.215,18</v>
      </c>
      <c r="K793" t="str">
        <f>"R$ 5.955,39"</f>
        <v>R$ 5.955,39</v>
      </c>
    </row>
    <row r="794" spans="1:11" x14ac:dyDescent="0.25">
      <c r="A794" t="str">
        <f>"00062162 / 1"</f>
        <v>00062162 / 1</v>
      </c>
      <c r="B794" t="str">
        <f>"13° Salário Anual"</f>
        <v>13° Salário Anual</v>
      </c>
      <c r="C794" t="str">
        <f>"Lazi Cardoso da Silva"</f>
        <v>Lazi Cardoso da Silva</v>
      </c>
      <c r="D794" t="str">
        <f>"PROP IDADE"</f>
        <v>PROP IDADE</v>
      </c>
      <c r="E794" t="str">
        <f t="shared" si="66"/>
        <v>Efetivo-Inativo I- RJUSM</v>
      </c>
      <c r="F794" t="str">
        <f>"R$ 1.100,00"</f>
        <v>R$ 1.100,00</v>
      </c>
      <c r="G794" t="str">
        <f>"R$ 1.100,00"</f>
        <v>R$ 1.100,00</v>
      </c>
      <c r="H794" t="str">
        <f t="shared" ref="H794:H802" si="67">"R$ 0,00"</f>
        <v>R$ 0,00</v>
      </c>
      <c r="I794" t="str">
        <f>"R$ 1.100,00"</f>
        <v>R$ 1.100,00</v>
      </c>
      <c r="J794" t="str">
        <f>"R$ 550,00"</f>
        <v>R$ 550,00</v>
      </c>
      <c r="K794" t="str">
        <f>"R$ 550,00"</f>
        <v>R$ 550,00</v>
      </c>
    </row>
    <row r="795" spans="1:11" x14ac:dyDescent="0.25">
      <c r="A795" t="str">
        <f>"00062162 / 1"</f>
        <v>00062162 / 1</v>
      </c>
      <c r="B795" t="str">
        <f>"Folha Mensal"</f>
        <v>Folha Mensal</v>
      </c>
      <c r="C795" t="str">
        <f>"Lazi Cardoso da Silva"</f>
        <v>Lazi Cardoso da Silva</v>
      </c>
      <c r="D795" t="str">
        <f>"PROP IDADE"</f>
        <v>PROP IDADE</v>
      </c>
      <c r="E795" t="str">
        <f t="shared" si="66"/>
        <v>Efetivo-Inativo I- RJUSM</v>
      </c>
      <c r="F795" t="str">
        <f>"R$ 1.100,00"</f>
        <v>R$ 1.100,00</v>
      </c>
      <c r="G795" t="str">
        <f>"R$ 1.100,00"</f>
        <v>R$ 1.100,00</v>
      </c>
      <c r="H795" t="str">
        <f t="shared" si="67"/>
        <v>R$ 0,00</v>
      </c>
      <c r="I795" t="str">
        <f>"R$ 1.100,00"</f>
        <v>R$ 1.100,00</v>
      </c>
      <c r="J795" t="str">
        <f>"R$ 0,00"</f>
        <v>R$ 0,00</v>
      </c>
      <c r="K795" t="str">
        <f>"R$ 1.100,00"</f>
        <v>R$ 1.100,00</v>
      </c>
    </row>
    <row r="796" spans="1:11" x14ac:dyDescent="0.25">
      <c r="A796" t="str">
        <f>"00295205 / 2"</f>
        <v>00295205 / 2</v>
      </c>
      <c r="B796" t="str">
        <f>"13° Salário Anual"</f>
        <v>13° Salário Anual</v>
      </c>
      <c r="C796" t="str">
        <f>"Lea Soares Melo"</f>
        <v>Lea Soares Melo</v>
      </c>
      <c r="D796" t="str">
        <f>"PROFESSOR"</f>
        <v>PROFESSOR</v>
      </c>
      <c r="E796" t="str">
        <f t="shared" si="66"/>
        <v>Efetivo-Inativo I- RJUSM</v>
      </c>
      <c r="F796" t="str">
        <f>"R$ 1.593,46"</f>
        <v>R$ 1.593,46</v>
      </c>
      <c r="G796" t="str">
        <f>"R$ 1.991,82"</f>
        <v>R$ 1.991,82</v>
      </c>
      <c r="H796" t="str">
        <f t="shared" si="67"/>
        <v>R$ 0,00</v>
      </c>
      <c r="I796" t="str">
        <f>"R$ 1.991,82"</f>
        <v>R$ 1.991,82</v>
      </c>
      <c r="J796" t="str">
        <f>"R$ 995,91"</f>
        <v>R$ 995,91</v>
      </c>
      <c r="K796" t="str">
        <f>"R$ 995,91"</f>
        <v>R$ 995,91</v>
      </c>
    </row>
    <row r="797" spans="1:11" x14ac:dyDescent="0.25">
      <c r="A797" t="str">
        <f>"00295205 / 2"</f>
        <v>00295205 / 2</v>
      </c>
      <c r="B797" t="str">
        <f>"Folha Mensal"</f>
        <v>Folha Mensal</v>
      </c>
      <c r="C797" t="str">
        <f>"Lea Soares Melo"</f>
        <v>Lea Soares Melo</v>
      </c>
      <c r="D797" t="str">
        <f>"PROFESSOR"</f>
        <v>PROFESSOR</v>
      </c>
      <c r="E797" t="str">
        <f t="shared" si="66"/>
        <v>Efetivo-Inativo I- RJUSM</v>
      </c>
      <c r="F797" t="str">
        <f>"R$ 1.593,46"</f>
        <v>R$ 1.593,46</v>
      </c>
      <c r="G797" t="str">
        <f>"R$ 1.991,82"</f>
        <v>R$ 1.991,82</v>
      </c>
      <c r="H797" t="str">
        <f t="shared" si="67"/>
        <v>R$ 0,00</v>
      </c>
      <c r="I797" t="str">
        <f>"R$ 1.991,82"</f>
        <v>R$ 1.991,82</v>
      </c>
      <c r="J797" t="str">
        <f>"R$ 593,88"</f>
        <v>R$ 593,88</v>
      </c>
      <c r="K797" t="str">
        <f>"R$ 1.397,94"</f>
        <v>R$ 1.397,94</v>
      </c>
    </row>
    <row r="798" spans="1:11" x14ac:dyDescent="0.25">
      <c r="A798" t="str">
        <f>"00029807 / 1"</f>
        <v>00029807 / 1</v>
      </c>
      <c r="B798" t="str">
        <f>"13° Salário Anual"</f>
        <v>13° Salário Anual</v>
      </c>
      <c r="C798" t="str">
        <f>"Lea Vitoria Alves Nogueira"</f>
        <v>Lea Vitoria Alves Nogueira</v>
      </c>
      <c r="D798" t="str">
        <f>"PROP IDADE"</f>
        <v>PROP IDADE</v>
      </c>
      <c r="E798" t="str">
        <f t="shared" si="66"/>
        <v>Efetivo-Inativo I- RJUSM</v>
      </c>
      <c r="F798" t="str">
        <f>"R$ 1.100,00"</f>
        <v>R$ 1.100,00</v>
      </c>
      <c r="G798" t="str">
        <f>"R$ 1.100,00"</f>
        <v>R$ 1.100,00</v>
      </c>
      <c r="H798" t="str">
        <f t="shared" si="67"/>
        <v>R$ 0,00</v>
      </c>
      <c r="I798" t="str">
        <f>"R$ 1.100,00"</f>
        <v>R$ 1.100,00</v>
      </c>
      <c r="J798" t="str">
        <f>"R$ 550,00"</f>
        <v>R$ 550,00</v>
      </c>
      <c r="K798" t="str">
        <f>"R$ 550,00"</f>
        <v>R$ 550,00</v>
      </c>
    </row>
    <row r="799" spans="1:11" x14ac:dyDescent="0.25">
      <c r="A799" t="str">
        <f>"00029807 / 1"</f>
        <v>00029807 / 1</v>
      </c>
      <c r="B799" t="str">
        <f>"Folha Mensal"</f>
        <v>Folha Mensal</v>
      </c>
      <c r="C799" t="str">
        <f>"Lea Vitoria Alves Nogueira"</f>
        <v>Lea Vitoria Alves Nogueira</v>
      </c>
      <c r="D799" t="str">
        <f>"PROP IDADE"</f>
        <v>PROP IDADE</v>
      </c>
      <c r="E799" t="str">
        <f t="shared" si="66"/>
        <v>Efetivo-Inativo I- RJUSM</v>
      </c>
      <c r="F799" t="str">
        <f>"R$ 1.100,00"</f>
        <v>R$ 1.100,00</v>
      </c>
      <c r="G799" t="str">
        <f>"R$ 1.100,00"</f>
        <v>R$ 1.100,00</v>
      </c>
      <c r="H799" t="str">
        <f t="shared" si="67"/>
        <v>R$ 0,00</v>
      </c>
      <c r="I799" t="str">
        <f>"R$ 1.100,00"</f>
        <v>R$ 1.100,00</v>
      </c>
      <c r="J799" t="str">
        <f>"R$ 0,00"</f>
        <v>R$ 0,00</v>
      </c>
      <c r="K799" t="str">
        <f>"R$ 1.100,00"</f>
        <v>R$ 1.100,00</v>
      </c>
    </row>
    <row r="800" spans="1:11" x14ac:dyDescent="0.25">
      <c r="A800" t="str">
        <f>"03640620 / 1"</f>
        <v>03640620 / 1</v>
      </c>
      <c r="B800" t="str">
        <f>"13° Salário Anual"</f>
        <v>13° Salário Anual</v>
      </c>
      <c r="C800" t="str">
        <f>"Leandro Luis Barboza Cardias"</f>
        <v>Leandro Luis Barboza Cardias</v>
      </c>
      <c r="D800" t="str">
        <f>"PENSIONISTA"</f>
        <v>PENSIONISTA</v>
      </c>
      <c r="E800" t="str">
        <f>"Pensionista"</f>
        <v>Pensionista</v>
      </c>
      <c r="F800" t="str">
        <f>"R$ 1.550,00"</f>
        <v>R$ 1.550,00</v>
      </c>
      <c r="G800" t="str">
        <f>"R$ 1.627,50"</f>
        <v>R$ 1.627,50</v>
      </c>
      <c r="H800" t="str">
        <f t="shared" si="67"/>
        <v>R$ 0,00</v>
      </c>
      <c r="I800" t="str">
        <f>"R$ 1.627,50"</f>
        <v>R$ 1.627,50</v>
      </c>
      <c r="J800" t="str">
        <f>"R$ 775,00"</f>
        <v>R$ 775,00</v>
      </c>
      <c r="K800" t="str">
        <f>"R$ 852,50"</f>
        <v>R$ 852,50</v>
      </c>
    </row>
    <row r="801" spans="1:11" x14ac:dyDescent="0.25">
      <c r="A801" t="str">
        <f>"03640620 / 1"</f>
        <v>03640620 / 1</v>
      </c>
      <c r="B801" t="str">
        <f>"Folha Mensal"</f>
        <v>Folha Mensal</v>
      </c>
      <c r="C801" t="str">
        <f>"Leandro Luis Barboza Cardias"</f>
        <v>Leandro Luis Barboza Cardias</v>
      </c>
      <c r="D801" t="str">
        <f>"PENSIONISTA"</f>
        <v>PENSIONISTA</v>
      </c>
      <c r="E801" t="str">
        <f>"Pensionista"</f>
        <v>Pensionista</v>
      </c>
      <c r="F801" t="str">
        <f>"R$ 1.550,00"</f>
        <v>R$ 1.550,00</v>
      </c>
      <c r="G801" t="str">
        <f>"R$ 1.627,50"</f>
        <v>R$ 1.627,50</v>
      </c>
      <c r="H801" t="str">
        <f t="shared" si="67"/>
        <v>R$ 0,00</v>
      </c>
      <c r="I801" t="str">
        <f>"R$ 1.627,50"</f>
        <v>R$ 1.627,50</v>
      </c>
      <c r="J801" t="str">
        <f>"R$ 0,00"</f>
        <v>R$ 0,00</v>
      </c>
      <c r="K801" t="str">
        <f>"R$ 1.627,50"</f>
        <v>R$ 1.627,50</v>
      </c>
    </row>
    <row r="802" spans="1:11" x14ac:dyDescent="0.25">
      <c r="A802" t="str">
        <f>"03640779 / 1"</f>
        <v>03640779 / 1</v>
      </c>
      <c r="B802" t="str">
        <f>"13° Salário Anual"</f>
        <v>13° Salário Anual</v>
      </c>
      <c r="C802" t="str">
        <f>"Leandro Santana da Silva"</f>
        <v>Leandro Santana da Silva</v>
      </c>
      <c r="D802" t="str">
        <f>"DAS 06"</f>
        <v>DAS 06</v>
      </c>
      <c r="E802" t="str">
        <f>"Comissionado"</f>
        <v>Comissionado</v>
      </c>
      <c r="F802" t="str">
        <f>"R$ 2.427,00"</f>
        <v>R$ 2.427,00</v>
      </c>
      <c r="G802" t="str">
        <f>"R$ 2.224,75"</f>
        <v>R$ 2.224,75</v>
      </c>
      <c r="H802" t="str">
        <f t="shared" si="67"/>
        <v>R$ 0,00</v>
      </c>
      <c r="I802" t="str">
        <f>"R$ 2.224,75"</f>
        <v>R$ 2.224,75</v>
      </c>
      <c r="J802" t="str">
        <f>"R$ 1.306,95"</f>
        <v>R$ 1.306,95</v>
      </c>
      <c r="K802" t="str">
        <f>"R$ 917,80"</f>
        <v>R$ 917,80</v>
      </c>
    </row>
    <row r="803" spans="1:11" x14ac:dyDescent="0.25">
      <c r="A803" t="str">
        <f>"03640779 / 1"</f>
        <v>03640779 / 1</v>
      </c>
      <c r="B803" t="str">
        <f>"Folha Mensal"</f>
        <v>Folha Mensal</v>
      </c>
      <c r="C803" t="str">
        <f>"Leandro Santana da Silva"</f>
        <v>Leandro Santana da Silva</v>
      </c>
      <c r="D803" t="str">
        <f>"DAS 06"</f>
        <v>DAS 06</v>
      </c>
      <c r="E803" t="str">
        <f>"Comissionado"</f>
        <v>Comissionado</v>
      </c>
      <c r="F803" t="str">
        <f>"R$ 2.427,00"</f>
        <v>R$ 2.427,00</v>
      </c>
      <c r="G803" t="str">
        <f>"R$ 2.427,00"</f>
        <v>R$ 2.427,00</v>
      </c>
      <c r="H803" t="str">
        <f>"R$ 288,00"</f>
        <v>R$ 288,00</v>
      </c>
      <c r="I803" t="str">
        <f>"R$ 2.715,00"</f>
        <v>R$ 2.715,00</v>
      </c>
      <c r="J803" t="str">
        <f>"R$ 377,82"</f>
        <v>R$ 377,82</v>
      </c>
      <c r="K803" t="str">
        <f>"R$ 2.337,18"</f>
        <v>R$ 2.337,18</v>
      </c>
    </row>
    <row r="804" spans="1:11" x14ac:dyDescent="0.25">
      <c r="A804" t="str">
        <f>"00027138 / 1"</f>
        <v>00027138 / 1</v>
      </c>
      <c r="B804" t="str">
        <f>"13° Salário Anual"</f>
        <v>13° Salário Anual</v>
      </c>
      <c r="C804" t="str">
        <f>"Leda Maria Furtado Azevedo"</f>
        <v>Leda Maria Furtado Azevedo</v>
      </c>
      <c r="D804" t="str">
        <f>"PROFESSOR"</f>
        <v>PROFESSOR</v>
      </c>
      <c r="E804" t="str">
        <f>"Efetivo-Inativo I- RJUSM"</f>
        <v>Efetivo-Inativo I- RJUSM</v>
      </c>
      <c r="F804" t="str">
        <f>"R$ 4.461,70"</f>
        <v>R$ 4.461,70</v>
      </c>
      <c r="G804" t="str">
        <f>"R$ 5.577,12"</f>
        <v>R$ 5.577,12</v>
      </c>
      <c r="H804" t="str">
        <f t="shared" ref="H804:H824" si="68">"R$ 0,00"</f>
        <v>R$ 0,00</v>
      </c>
      <c r="I804" t="str">
        <f>"R$ 5.577,12"</f>
        <v>R$ 5.577,12</v>
      </c>
      <c r="J804" t="str">
        <f>"R$ 3.400,77"</f>
        <v>R$ 3.400,77</v>
      </c>
      <c r="K804" t="str">
        <f>"R$ 2.176,35"</f>
        <v>R$ 2.176,35</v>
      </c>
    </row>
    <row r="805" spans="1:11" x14ac:dyDescent="0.25">
      <c r="A805" t="str">
        <f>"00027138 / 1"</f>
        <v>00027138 / 1</v>
      </c>
      <c r="B805" t="str">
        <f>"Folha Mensal"</f>
        <v>Folha Mensal</v>
      </c>
      <c r="C805" t="str">
        <f>"Leda Maria Furtado Azevedo"</f>
        <v>Leda Maria Furtado Azevedo</v>
      </c>
      <c r="D805" t="str">
        <f>"PROFESSOR"</f>
        <v>PROFESSOR</v>
      </c>
      <c r="E805" t="str">
        <f>"Efetivo-Inativo I- RJUSM"</f>
        <v>Efetivo-Inativo I- RJUSM</v>
      </c>
      <c r="F805" t="str">
        <f>"R$ 4.461,70"</f>
        <v>R$ 4.461,70</v>
      </c>
      <c r="G805" t="str">
        <f>"R$ 5.577,12"</f>
        <v>R$ 5.577,12</v>
      </c>
      <c r="H805" t="str">
        <f t="shared" si="68"/>
        <v>R$ 0,00</v>
      </c>
      <c r="I805" t="str">
        <f>"R$ 5.577,12"</f>
        <v>R$ 5.577,12</v>
      </c>
      <c r="J805" t="str">
        <f>"R$ 1.885,95"</f>
        <v>R$ 1.885,95</v>
      </c>
      <c r="K805" t="str">
        <f>"R$ 3.691,17"</f>
        <v>R$ 3.691,17</v>
      </c>
    </row>
    <row r="806" spans="1:11" x14ac:dyDescent="0.25">
      <c r="A806" t="str">
        <f>"00041254 / 1"</f>
        <v>00041254 / 1</v>
      </c>
      <c r="B806" t="str">
        <f>"13° Salário Anual"</f>
        <v>13° Salário Anual</v>
      </c>
      <c r="C806" t="str">
        <f>"Leida de Sousa Aleixo"</f>
        <v>Leida de Sousa Aleixo</v>
      </c>
      <c r="D806" t="str">
        <f>"PROFESSOR NIVEL III"</f>
        <v>PROFESSOR NIVEL III</v>
      </c>
      <c r="E806" t="str">
        <f>"Efetivo-Inativo I- RJUSM"</f>
        <v>Efetivo-Inativo I- RJUSM</v>
      </c>
      <c r="F806" t="str">
        <f>"R$ 5.045,98"</f>
        <v>R$ 5.045,98</v>
      </c>
      <c r="G806" t="str">
        <f>"R$ 10.495,62"</f>
        <v>R$ 10.495,62</v>
      </c>
      <c r="H806" t="str">
        <f t="shared" si="68"/>
        <v>R$ 0,00</v>
      </c>
      <c r="I806" t="str">
        <f>"R$ 10.495,62"</f>
        <v>R$ 10.495,62</v>
      </c>
      <c r="J806" t="str">
        <f>"R$ 7.658,65"</f>
        <v>R$ 7.658,65</v>
      </c>
      <c r="K806" t="str">
        <f>"R$ 2.836,97"</f>
        <v>R$ 2.836,97</v>
      </c>
    </row>
    <row r="807" spans="1:11" x14ac:dyDescent="0.25">
      <c r="A807" t="str">
        <f>"00041254 / 1"</f>
        <v>00041254 / 1</v>
      </c>
      <c r="B807" t="str">
        <f>"Folha Mensal"</f>
        <v>Folha Mensal</v>
      </c>
      <c r="C807" t="str">
        <f>"Leida de Sousa Aleixo"</f>
        <v>Leida de Sousa Aleixo</v>
      </c>
      <c r="D807" t="str">
        <f>"PROFESSOR NIVEL III"</f>
        <v>PROFESSOR NIVEL III</v>
      </c>
      <c r="E807" t="str">
        <f>"Efetivo-Inativo I- RJUSM"</f>
        <v>Efetivo-Inativo I- RJUSM</v>
      </c>
      <c r="F807" t="str">
        <f>"R$ 5.045,98"</f>
        <v>R$ 5.045,98</v>
      </c>
      <c r="G807" t="str">
        <f>"R$ 10.495,62"</f>
        <v>R$ 10.495,62</v>
      </c>
      <c r="H807" t="str">
        <f t="shared" si="68"/>
        <v>R$ 0,00</v>
      </c>
      <c r="I807" t="str">
        <f>"R$ 10.495,62"</f>
        <v>R$ 10.495,62</v>
      </c>
      <c r="J807" t="str">
        <f>"R$ 2.410,84"</f>
        <v>R$ 2.410,84</v>
      </c>
      <c r="K807" t="str">
        <f>"R$ 8.084,78"</f>
        <v>R$ 8.084,78</v>
      </c>
    </row>
    <row r="808" spans="1:11" x14ac:dyDescent="0.25">
      <c r="A808" t="str">
        <f>"03641325 / 1"</f>
        <v>03641325 / 1</v>
      </c>
      <c r="B808" t="str">
        <f>"13° Salário Anual"</f>
        <v>13° Salário Anual</v>
      </c>
      <c r="C808" t="str">
        <f>"Leiliane Carvalho Freire Nunes"</f>
        <v>Leiliane Carvalho Freire Nunes</v>
      </c>
      <c r="D808" t="str">
        <f>"DAS 08"</f>
        <v>DAS 08</v>
      </c>
      <c r="E808" t="str">
        <f>"Comissionado"</f>
        <v>Comissionado</v>
      </c>
      <c r="F808" t="str">
        <f>"R$ 4.200,00"</f>
        <v>R$ 4.200,00</v>
      </c>
      <c r="G808" t="str">
        <f>"R$ 2.800,00"</f>
        <v>R$ 2.800,00</v>
      </c>
      <c r="H808" t="str">
        <f t="shared" si="68"/>
        <v>R$ 0,00</v>
      </c>
      <c r="I808" t="str">
        <f>"R$ 2.800,00"</f>
        <v>R$ 2.800,00</v>
      </c>
      <c r="J808" t="str">
        <f>"R$ 1.701,58"</f>
        <v>R$ 1.701,58</v>
      </c>
      <c r="K808" t="str">
        <f>"R$ 1.098,42"</f>
        <v>R$ 1.098,42</v>
      </c>
    </row>
    <row r="809" spans="1:11" x14ac:dyDescent="0.25">
      <c r="A809" t="str">
        <f>"03641325 / 1"</f>
        <v>03641325 / 1</v>
      </c>
      <c r="B809" t="str">
        <f>"Folha Mensal"</f>
        <v>Folha Mensal</v>
      </c>
      <c r="C809" t="str">
        <f>"Leiliane Carvalho Freire Nunes"</f>
        <v>Leiliane Carvalho Freire Nunes</v>
      </c>
      <c r="D809" t="str">
        <f>"DAS 08"</f>
        <v>DAS 08</v>
      </c>
      <c r="E809" t="str">
        <f>"Comissionado"</f>
        <v>Comissionado</v>
      </c>
      <c r="F809" t="str">
        <f>"R$ 4.200,00"</f>
        <v>R$ 4.200,00</v>
      </c>
      <c r="G809" t="str">
        <f>"R$ 4.200,00"</f>
        <v>R$ 4.200,00</v>
      </c>
      <c r="H809" t="str">
        <f t="shared" si="68"/>
        <v>R$ 0,00</v>
      </c>
      <c r="I809" t="str">
        <f>"R$ 4.200,00"</f>
        <v>R$ 4.200,00</v>
      </c>
      <c r="J809" t="str">
        <f>"R$ 649,30"</f>
        <v>R$ 649,30</v>
      </c>
      <c r="K809" t="str">
        <f>"R$ 3.550,70"</f>
        <v>R$ 3.550,70</v>
      </c>
    </row>
    <row r="810" spans="1:11" x14ac:dyDescent="0.25">
      <c r="A810" t="str">
        <f>"00032565 / 1"</f>
        <v>00032565 / 1</v>
      </c>
      <c r="B810" t="str">
        <f>"13° Salário Anual"</f>
        <v>13° Salário Anual</v>
      </c>
      <c r="C810" t="str">
        <f>"Leonides Ribeiro de Miranda"</f>
        <v>Leonides Ribeiro de Miranda</v>
      </c>
      <c r="D810" t="str">
        <f>"INT TEMP CONTRIBUICAO"</f>
        <v>INT TEMP CONTRIBUICAO</v>
      </c>
      <c r="E810" t="str">
        <f>"Efetivo-Inativos II-RJUSM"</f>
        <v>Efetivo-Inativos II-RJUSM</v>
      </c>
      <c r="F810" t="str">
        <f>"R$ 1.100,00"</f>
        <v>R$ 1.100,00</v>
      </c>
      <c r="G810" t="str">
        <f>"R$ 1.485,00"</f>
        <v>R$ 1.485,00</v>
      </c>
      <c r="H810" t="str">
        <f t="shared" si="68"/>
        <v>R$ 0,00</v>
      </c>
      <c r="I810" t="str">
        <f>"R$ 1.485,00"</f>
        <v>R$ 1.485,00</v>
      </c>
      <c r="J810" t="str">
        <f>"R$ 742,50"</f>
        <v>R$ 742,50</v>
      </c>
      <c r="K810" t="str">
        <f>"R$ 742,50"</f>
        <v>R$ 742,50</v>
      </c>
    </row>
    <row r="811" spans="1:11" x14ac:dyDescent="0.25">
      <c r="A811" t="str">
        <f>"00032565 / 1"</f>
        <v>00032565 / 1</v>
      </c>
      <c r="B811" t="str">
        <f>"Folha Mensal"</f>
        <v>Folha Mensal</v>
      </c>
      <c r="C811" t="str">
        <f>"Leonides Ribeiro de Miranda"</f>
        <v>Leonides Ribeiro de Miranda</v>
      </c>
      <c r="D811" t="str">
        <f>"INT TEMP CONTRIBUICAO"</f>
        <v>INT TEMP CONTRIBUICAO</v>
      </c>
      <c r="E811" t="str">
        <f>"Efetivo-Inativos II-RJUSM"</f>
        <v>Efetivo-Inativos II-RJUSM</v>
      </c>
      <c r="F811" t="str">
        <f>"R$ 1.100,00"</f>
        <v>R$ 1.100,00</v>
      </c>
      <c r="G811" t="str">
        <f>"R$ 1.485,00"</f>
        <v>R$ 1.485,00</v>
      </c>
      <c r="H811" t="str">
        <f t="shared" si="68"/>
        <v>R$ 0,00</v>
      </c>
      <c r="I811" t="str">
        <f>"R$ 1.485,00"</f>
        <v>R$ 1.485,00</v>
      </c>
      <c r="J811" t="str">
        <f>"R$ 350,38"</f>
        <v>R$ 350,38</v>
      </c>
      <c r="K811" t="str">
        <f>"R$ 1.134,62"</f>
        <v>R$ 1.134,62</v>
      </c>
    </row>
    <row r="812" spans="1:11" x14ac:dyDescent="0.25">
      <c r="A812" t="str">
        <f>"00052795 / 1"</f>
        <v>00052795 / 1</v>
      </c>
      <c r="B812" t="str">
        <f>"13° Salário Anual"</f>
        <v>13° Salário Anual</v>
      </c>
      <c r="C812" t="str">
        <f>"Leonilda Negrao de Matos"</f>
        <v>Leonilda Negrao de Matos</v>
      </c>
      <c r="D812" t="str">
        <f>"PROFESSOR NIVEL II"</f>
        <v>PROFESSOR NIVEL II</v>
      </c>
      <c r="E812" t="str">
        <f>"Efetivo-Inativos II-RJUSM"</f>
        <v>Efetivo-Inativos II-RJUSM</v>
      </c>
      <c r="F812" t="str">
        <f>"R$ 5.417,82"</f>
        <v>R$ 5.417,82</v>
      </c>
      <c r="G812" t="str">
        <f>"R$ 6.772,27"</f>
        <v>R$ 6.772,27</v>
      </c>
      <c r="H812" t="str">
        <f t="shared" si="68"/>
        <v>R$ 0,00</v>
      </c>
      <c r="I812" t="str">
        <f>"R$ 6.772,27"</f>
        <v>R$ 6.772,27</v>
      </c>
      <c r="J812" t="str">
        <f>"R$ 3.923,67"</f>
        <v>R$ 3.923,67</v>
      </c>
      <c r="K812" t="str">
        <f>"R$ 2.848,60"</f>
        <v>R$ 2.848,60</v>
      </c>
    </row>
    <row r="813" spans="1:11" x14ac:dyDescent="0.25">
      <c r="A813" t="str">
        <f>"00052795 / 1"</f>
        <v>00052795 / 1</v>
      </c>
      <c r="B813" t="str">
        <f>"Folha Mensal"</f>
        <v>Folha Mensal</v>
      </c>
      <c r="C813" t="str">
        <f>"Leonilda Negrao de Matos"</f>
        <v>Leonilda Negrao de Matos</v>
      </c>
      <c r="D813" t="str">
        <f>"PROFESSOR NIVEL II"</f>
        <v>PROFESSOR NIVEL II</v>
      </c>
      <c r="E813" t="str">
        <f>"Efetivo-Inativos II-RJUSM"</f>
        <v>Efetivo-Inativos II-RJUSM</v>
      </c>
      <c r="F813" t="str">
        <f>"R$ 5.417,82"</f>
        <v>R$ 5.417,82</v>
      </c>
      <c r="G813" t="str">
        <f>"R$ 6.772,27"</f>
        <v>R$ 6.772,27</v>
      </c>
      <c r="H813" t="str">
        <f t="shared" si="68"/>
        <v>R$ 0,00</v>
      </c>
      <c r="I813" t="str">
        <f>"R$ 6.772,27"</f>
        <v>R$ 6.772,27</v>
      </c>
      <c r="J813" t="str">
        <f>"R$ 2.398,45"</f>
        <v>R$ 2.398,45</v>
      </c>
      <c r="K813" t="str">
        <f>"R$ 4.373,82"</f>
        <v>R$ 4.373,82</v>
      </c>
    </row>
    <row r="814" spans="1:11" x14ac:dyDescent="0.25">
      <c r="A814" t="str">
        <f>"00053171 / 2"</f>
        <v>00053171 / 2</v>
      </c>
      <c r="B814" t="str">
        <f>"13° Salário Anual"</f>
        <v>13° Salário Anual</v>
      </c>
      <c r="C814" t="str">
        <f>"Leonildes Lameira e Silva"</f>
        <v>Leonildes Lameira e Silva</v>
      </c>
      <c r="D814" t="str">
        <f>"PENSIONISTA DE PROFESSOR"</f>
        <v>PENSIONISTA DE PROFESSOR</v>
      </c>
      <c r="E814" t="str">
        <f>"Pensionista"</f>
        <v>Pensionista</v>
      </c>
      <c r="F814" t="str">
        <f>"R$ 3.027,57"</f>
        <v>R$ 3.027,57</v>
      </c>
      <c r="G814" t="str">
        <f>"R$ 3.784,46"</f>
        <v>R$ 3.784,46</v>
      </c>
      <c r="H814" t="str">
        <f t="shared" si="68"/>
        <v>R$ 0,00</v>
      </c>
      <c r="I814" t="str">
        <f>"R$ 3.784,46"</f>
        <v>R$ 3.784,46</v>
      </c>
      <c r="J814" t="str">
        <f>"R$ 2.107,60"</f>
        <v>R$ 2.107,60</v>
      </c>
      <c r="K814" t="str">
        <f>"R$ 1.676,86"</f>
        <v>R$ 1.676,86</v>
      </c>
    </row>
    <row r="815" spans="1:11" x14ac:dyDescent="0.25">
      <c r="A815" t="str">
        <f>"00053171 / 2"</f>
        <v>00053171 / 2</v>
      </c>
      <c r="B815" t="str">
        <f>"Folha Mensal"</f>
        <v>Folha Mensal</v>
      </c>
      <c r="C815" t="str">
        <f>"Leonildes Lameira e Silva"</f>
        <v>Leonildes Lameira e Silva</v>
      </c>
      <c r="D815" t="str">
        <f>"PENSIONISTA DE PROFESSOR"</f>
        <v>PENSIONISTA DE PROFESSOR</v>
      </c>
      <c r="E815" t="str">
        <f>"Pensionista"</f>
        <v>Pensionista</v>
      </c>
      <c r="F815" t="str">
        <f>"R$ 3.027,57"</f>
        <v>R$ 3.027,57</v>
      </c>
      <c r="G815" t="str">
        <f>"R$ 3.784,46"</f>
        <v>R$ 3.784,46</v>
      </c>
      <c r="H815" t="str">
        <f t="shared" si="68"/>
        <v>R$ 0,00</v>
      </c>
      <c r="I815" t="str">
        <f>"R$ 3.784,46"</f>
        <v>R$ 3.784,46</v>
      </c>
      <c r="J815" t="str">
        <f>"R$ 215,37"</f>
        <v>R$ 215,37</v>
      </c>
      <c r="K815" t="str">
        <f>"R$ 3.569,09"</f>
        <v>R$ 3.569,09</v>
      </c>
    </row>
    <row r="816" spans="1:11" x14ac:dyDescent="0.25">
      <c r="A816" t="str">
        <f>"00053171 / 3"</f>
        <v>00053171 / 3</v>
      </c>
      <c r="B816" t="str">
        <f>"13° Salário Anual"</f>
        <v>13° Salário Anual</v>
      </c>
      <c r="C816" t="str">
        <f>"Leonildes Lameira e Silva"</f>
        <v>Leonildes Lameira e Silva</v>
      </c>
      <c r="D816" t="str">
        <f>"PROFESSOR NIVEL III_"</f>
        <v>PROFESSOR NIVEL III_</v>
      </c>
      <c r="E816" t="str">
        <f>"Efetivo-Inativos II-RJUSM"</f>
        <v>Efetivo-Inativos II-RJUSM</v>
      </c>
      <c r="F816" t="str">
        <f>"R$ 4.302,35"</f>
        <v>R$ 4.302,35</v>
      </c>
      <c r="G816" t="str">
        <f>"R$ 896,32"</f>
        <v>R$ 896,32</v>
      </c>
      <c r="H816" t="str">
        <f t="shared" si="68"/>
        <v>R$ 0,00</v>
      </c>
      <c r="I816" t="str">
        <f>"R$ 896,32"</f>
        <v>R$ 896,32</v>
      </c>
      <c r="J816" t="str">
        <f>"R$ 198,63"</f>
        <v>R$ 198,63</v>
      </c>
      <c r="K816" t="str">
        <f>"R$ 697,69"</f>
        <v>R$ 697,69</v>
      </c>
    </row>
    <row r="817" spans="1:11" x14ac:dyDescent="0.25">
      <c r="A817" t="str">
        <f>"00053171 / 3"</f>
        <v>00053171 / 3</v>
      </c>
      <c r="B817" t="str">
        <f>"Folha Mensal"</f>
        <v>Folha Mensal</v>
      </c>
      <c r="C817" t="str">
        <f>"Leonildes Lameira e Silva"</f>
        <v>Leonildes Lameira e Silva</v>
      </c>
      <c r="D817" t="str">
        <f>"PROFESSOR NIVEL III_"</f>
        <v>PROFESSOR NIVEL III_</v>
      </c>
      <c r="E817" t="str">
        <f>"Efetivo-Inativos II-RJUSM"</f>
        <v>Efetivo-Inativos II-RJUSM</v>
      </c>
      <c r="F817" t="str">
        <f>"R$ 4.302,35"</f>
        <v>R$ 4.302,35</v>
      </c>
      <c r="G817" t="str">
        <f>"R$ 5.377,93"</f>
        <v>R$ 5.377,93</v>
      </c>
      <c r="H817" t="str">
        <f t="shared" si="68"/>
        <v>R$ 0,00</v>
      </c>
      <c r="I817" t="str">
        <f>"R$ 5.377,93"</f>
        <v>R$ 5.377,93</v>
      </c>
      <c r="J817" t="str">
        <f>"R$ 1.434,92"</f>
        <v>R$ 1.434,92</v>
      </c>
      <c r="K817" t="str">
        <f>"R$ 3.943,01"</f>
        <v>R$ 3.943,01</v>
      </c>
    </row>
    <row r="818" spans="1:11" x14ac:dyDescent="0.25">
      <c r="A818" t="str">
        <f>"00024180 / 2"</f>
        <v>00024180 / 2</v>
      </c>
      <c r="B818" t="str">
        <f>"13° Salário Anual"</f>
        <v>13° Salário Anual</v>
      </c>
      <c r="C818" t="str">
        <f>"Leonor Alves de Almeida"</f>
        <v>Leonor Alves de Almeida</v>
      </c>
      <c r="D818" t="str">
        <f>"PROFESSOR"</f>
        <v>PROFESSOR</v>
      </c>
      <c r="E818" t="str">
        <f>"Efetivo-Inativo I- RJUSM"</f>
        <v>Efetivo-Inativo I- RJUSM</v>
      </c>
      <c r="F818" t="str">
        <f>"R$ 1.593,46"</f>
        <v>R$ 1.593,46</v>
      </c>
      <c r="G818" t="str">
        <f>"R$ 1.991,82"</f>
        <v>R$ 1.991,82</v>
      </c>
      <c r="H818" t="str">
        <f t="shared" si="68"/>
        <v>R$ 0,00</v>
      </c>
      <c r="I818" t="str">
        <f>"R$ 1.991,82"</f>
        <v>R$ 1.991,82</v>
      </c>
      <c r="J818" t="str">
        <f>"R$ 995,91"</f>
        <v>R$ 995,91</v>
      </c>
      <c r="K818" t="str">
        <f>"R$ 995,91"</f>
        <v>R$ 995,91</v>
      </c>
    </row>
    <row r="819" spans="1:11" x14ac:dyDescent="0.25">
      <c r="A819" t="str">
        <f>"00024180 / 2"</f>
        <v>00024180 / 2</v>
      </c>
      <c r="B819" t="str">
        <f>"Folha Mensal"</f>
        <v>Folha Mensal</v>
      </c>
      <c r="C819" t="str">
        <f>"Leonor Alves de Almeida"</f>
        <v>Leonor Alves de Almeida</v>
      </c>
      <c r="D819" t="str">
        <f>"PROFESSOR"</f>
        <v>PROFESSOR</v>
      </c>
      <c r="E819" t="str">
        <f>"Efetivo-Inativo I- RJUSM"</f>
        <v>Efetivo-Inativo I- RJUSM</v>
      </c>
      <c r="F819" t="str">
        <f>"R$ 1.593,46"</f>
        <v>R$ 1.593,46</v>
      </c>
      <c r="G819" t="str">
        <f>"R$ 1.991,82"</f>
        <v>R$ 1.991,82</v>
      </c>
      <c r="H819" t="str">
        <f t="shared" si="68"/>
        <v>R$ 0,00</v>
      </c>
      <c r="I819" t="str">
        <f>"R$ 1.991,82"</f>
        <v>R$ 1.991,82</v>
      </c>
      <c r="J819" t="str">
        <f>"R$ 0,00"</f>
        <v>R$ 0,00</v>
      </c>
      <c r="K819" t="str">
        <f>"R$ 1.991,82"</f>
        <v>R$ 1.991,82</v>
      </c>
    </row>
    <row r="820" spans="1:11" x14ac:dyDescent="0.25">
      <c r="A820" t="str">
        <f>"00057690 / 1"</f>
        <v>00057690 / 1</v>
      </c>
      <c r="B820" t="str">
        <f>"13° Salário Anual"</f>
        <v>13° Salário Anual</v>
      </c>
      <c r="C820" t="str">
        <f>"Leonora Rosa Silva dos Santos"</f>
        <v>Leonora Rosa Silva dos Santos</v>
      </c>
      <c r="D820" t="str">
        <f>"PROFESSOR NIVEL II"</f>
        <v>PROFESSOR NIVEL II</v>
      </c>
      <c r="E820" t="str">
        <f>"Efetivo-Inativos II-RJUSM"</f>
        <v>Efetivo-Inativos II-RJUSM</v>
      </c>
      <c r="F820" t="str">
        <f>"R$ 2.549,55"</f>
        <v>R$ 2.549,55</v>
      </c>
      <c r="G820" t="str">
        <f>"R$ 3.059,46"</f>
        <v>R$ 3.059,46</v>
      </c>
      <c r="H820" t="str">
        <f t="shared" si="68"/>
        <v>R$ 0,00</v>
      </c>
      <c r="I820" t="str">
        <f>"R$ 3.059,46"</f>
        <v>R$ 3.059,46</v>
      </c>
      <c r="J820" t="str">
        <f>"R$ 1.529,73"</f>
        <v>R$ 1.529,73</v>
      </c>
      <c r="K820" t="str">
        <f>"R$ 1.529,73"</f>
        <v>R$ 1.529,73</v>
      </c>
    </row>
    <row r="821" spans="1:11" x14ac:dyDescent="0.25">
      <c r="A821" t="str">
        <f>"00057690 / 1"</f>
        <v>00057690 / 1</v>
      </c>
      <c r="B821" t="str">
        <f>"Folha Mensal"</f>
        <v>Folha Mensal</v>
      </c>
      <c r="C821" t="str">
        <f>"Leonora Rosa Silva dos Santos"</f>
        <v>Leonora Rosa Silva dos Santos</v>
      </c>
      <c r="D821" t="str">
        <f>"PROFESSOR NIVEL II"</f>
        <v>PROFESSOR NIVEL II</v>
      </c>
      <c r="E821" t="str">
        <f>"Efetivo-Inativos II-RJUSM"</f>
        <v>Efetivo-Inativos II-RJUSM</v>
      </c>
      <c r="F821" t="str">
        <f>"R$ 2.549,55"</f>
        <v>R$ 2.549,55</v>
      </c>
      <c r="G821" t="str">
        <f>"R$ 3.059,46"</f>
        <v>R$ 3.059,46</v>
      </c>
      <c r="H821" t="str">
        <f t="shared" si="68"/>
        <v>R$ 0,00</v>
      </c>
      <c r="I821" t="str">
        <f>"R$ 3.059,46"</f>
        <v>R$ 3.059,46</v>
      </c>
      <c r="J821" t="str">
        <f>"R$ 0,00"</f>
        <v>R$ 0,00</v>
      </c>
      <c r="K821" t="str">
        <f>"R$ 3.059,46"</f>
        <v>R$ 3.059,46</v>
      </c>
    </row>
    <row r="822" spans="1:11" x14ac:dyDescent="0.25">
      <c r="A822" t="str">
        <f>"03641368 / 1"</f>
        <v>03641368 / 1</v>
      </c>
      <c r="B822" t="str">
        <f>"13° Salário Anual"</f>
        <v>13° Salário Anual</v>
      </c>
      <c r="C822" t="str">
        <f>"Leticia Maciel Cordovil dos Santos"</f>
        <v>Leticia Maciel Cordovil dos Santos</v>
      </c>
      <c r="D822" t="str">
        <f>"PENSIONISTA"</f>
        <v>PENSIONISTA</v>
      </c>
      <c r="E822" t="str">
        <f>"Pensionista"</f>
        <v>Pensionista</v>
      </c>
      <c r="F822" t="str">
        <f>"R$ 677,23"</f>
        <v>R$ 677,23</v>
      </c>
      <c r="G822" t="str">
        <f>"R$ 507,92"</f>
        <v>R$ 507,92</v>
      </c>
      <c r="H822" t="str">
        <f t="shared" si="68"/>
        <v>R$ 0,00</v>
      </c>
      <c r="I822" t="str">
        <f>"R$ 507,92"</f>
        <v>R$ 507,92</v>
      </c>
      <c r="J822" t="str">
        <f>"R$ 253,97"</f>
        <v>R$ 253,97</v>
      </c>
      <c r="K822" t="str">
        <f>"R$ 253,95"</f>
        <v>R$ 253,95</v>
      </c>
    </row>
    <row r="823" spans="1:11" x14ac:dyDescent="0.25">
      <c r="A823" t="str">
        <f>"03641368 / 1"</f>
        <v>03641368 / 1</v>
      </c>
      <c r="B823" t="str">
        <f>"Folha Mensal"</f>
        <v>Folha Mensal</v>
      </c>
      <c r="C823" t="str">
        <f>"Leticia Maciel Cordovil dos Santos"</f>
        <v>Leticia Maciel Cordovil dos Santos</v>
      </c>
      <c r="D823" t="str">
        <f>"PENSIONISTA"</f>
        <v>PENSIONISTA</v>
      </c>
      <c r="E823" t="str">
        <f>"Pensionista"</f>
        <v>Pensionista</v>
      </c>
      <c r="F823" t="str">
        <f>"R$ 677,23"</f>
        <v>R$ 677,23</v>
      </c>
      <c r="G823" t="str">
        <f>"R$ 677,23"</f>
        <v>R$ 677,23</v>
      </c>
      <c r="H823" t="str">
        <f t="shared" si="68"/>
        <v>R$ 0,00</v>
      </c>
      <c r="I823" t="str">
        <f>"R$ 677,23"</f>
        <v>R$ 677,23</v>
      </c>
      <c r="J823" t="str">
        <f>"R$ 0,00"</f>
        <v>R$ 0,00</v>
      </c>
      <c r="K823" t="str">
        <f>"R$ 677,23"</f>
        <v>R$ 677,23</v>
      </c>
    </row>
    <row r="824" spans="1:11" x14ac:dyDescent="0.25">
      <c r="A824" t="str">
        <f>"03640477 / 1"</f>
        <v>03640477 / 1</v>
      </c>
      <c r="B824" t="str">
        <f>"13° Salário Anual"</f>
        <v>13° Salário Anual</v>
      </c>
      <c r="C824" t="str">
        <f>"Leynilson Lopes Iwabuchi"</f>
        <v>Leynilson Lopes Iwabuchi</v>
      </c>
      <c r="D824" t="str">
        <f>"DAS 07"</f>
        <v>DAS 07</v>
      </c>
      <c r="E824" t="str">
        <f>"Comissionado"</f>
        <v>Comissionado</v>
      </c>
      <c r="F824" t="str">
        <f>"R$ 3.154,55"</f>
        <v>R$ 3.154,55</v>
      </c>
      <c r="G824" t="str">
        <f>"R$ 3.154,55"</f>
        <v>R$ 3.154,55</v>
      </c>
      <c r="H824" t="str">
        <f t="shared" si="68"/>
        <v>R$ 0,00</v>
      </c>
      <c r="I824" t="str">
        <f>"R$ 3.154,55"</f>
        <v>R$ 3.154,55</v>
      </c>
      <c r="J824" t="str">
        <f>"R$ 1.947,19"</f>
        <v>R$ 1.947,19</v>
      </c>
      <c r="K824" t="str">
        <f>"R$ 1.207,36"</f>
        <v>R$ 1.207,36</v>
      </c>
    </row>
    <row r="825" spans="1:11" x14ac:dyDescent="0.25">
      <c r="A825" t="str">
        <f>"03640477 / 1"</f>
        <v>03640477 / 1</v>
      </c>
      <c r="B825" t="str">
        <f>"Folha Mensal"</f>
        <v>Folha Mensal</v>
      </c>
      <c r="C825" t="str">
        <f>"Leynilson Lopes Iwabuchi"</f>
        <v>Leynilson Lopes Iwabuchi</v>
      </c>
      <c r="D825" t="str">
        <f>"DAS 07"</f>
        <v>DAS 07</v>
      </c>
      <c r="E825" t="str">
        <f>"Comissionado"</f>
        <v>Comissionado</v>
      </c>
      <c r="F825" t="str">
        <f>"R$ 3.154,55"</f>
        <v>R$ 3.154,55</v>
      </c>
      <c r="G825" t="str">
        <f>"R$ 3.154,55"</f>
        <v>R$ 3.154,55</v>
      </c>
      <c r="H825" t="str">
        <f>"R$ 288,00"</f>
        <v>R$ 288,00</v>
      </c>
      <c r="I825" t="str">
        <f>"R$ 3.442,55"</f>
        <v>R$ 3.442,55</v>
      </c>
      <c r="J825" t="str">
        <f>"R$ 559,19"</f>
        <v>R$ 559,19</v>
      </c>
      <c r="K825" t="str">
        <f>"R$ 2.883,36"</f>
        <v>R$ 2.883,36</v>
      </c>
    </row>
    <row r="826" spans="1:11" x14ac:dyDescent="0.25">
      <c r="A826" t="str">
        <f>"00027685 / 1"</f>
        <v>00027685 / 1</v>
      </c>
      <c r="B826" t="str">
        <f>"13° Salário Anual"</f>
        <v>13° Salário Anual</v>
      </c>
      <c r="C826" t="str">
        <f>"Licia Martins Neves"</f>
        <v>Licia Martins Neves</v>
      </c>
      <c r="D826" t="str">
        <f>"PROFESSOR"</f>
        <v>PROFESSOR</v>
      </c>
      <c r="E826" t="str">
        <f>"Efetivo-Inativo I- RJUSM"</f>
        <v>Efetivo-Inativo I- RJUSM</v>
      </c>
      <c r="F826" t="str">
        <f>"R$ 1.593,46"</f>
        <v>R$ 1.593,46</v>
      </c>
      <c r="G826" t="str">
        <f>"R$ 1.991,82"</f>
        <v>R$ 1.991,82</v>
      </c>
      <c r="H826" t="str">
        <f t="shared" ref="H826:H832" si="69">"R$ 0,00"</f>
        <v>R$ 0,00</v>
      </c>
      <c r="I826" t="str">
        <f>"R$ 1.991,82"</f>
        <v>R$ 1.991,82</v>
      </c>
      <c r="J826" t="str">
        <f>"R$ 995,91"</f>
        <v>R$ 995,91</v>
      </c>
      <c r="K826" t="str">
        <f>"R$ 995,91"</f>
        <v>R$ 995,91</v>
      </c>
    </row>
    <row r="827" spans="1:11" x14ac:dyDescent="0.25">
      <c r="A827" t="str">
        <f>"00027685 / 1"</f>
        <v>00027685 / 1</v>
      </c>
      <c r="B827" t="str">
        <f>"Folha Mensal"</f>
        <v>Folha Mensal</v>
      </c>
      <c r="C827" t="str">
        <f>"Licia Martins Neves"</f>
        <v>Licia Martins Neves</v>
      </c>
      <c r="D827" t="str">
        <f>"PROFESSOR"</f>
        <v>PROFESSOR</v>
      </c>
      <c r="E827" t="str">
        <f>"Efetivo-Inativo I- RJUSM"</f>
        <v>Efetivo-Inativo I- RJUSM</v>
      </c>
      <c r="F827" t="str">
        <f>"R$ 1.593,46"</f>
        <v>R$ 1.593,46</v>
      </c>
      <c r="G827" t="str">
        <f>"R$ 1.991,82"</f>
        <v>R$ 1.991,82</v>
      </c>
      <c r="H827" t="str">
        <f t="shared" si="69"/>
        <v>R$ 0,00</v>
      </c>
      <c r="I827" t="str">
        <f>"R$ 1.991,82"</f>
        <v>R$ 1.991,82</v>
      </c>
      <c r="J827" t="str">
        <f>"R$ 0,00"</f>
        <v>R$ 0,00</v>
      </c>
      <c r="K827" t="str">
        <f>"R$ 1.991,82"</f>
        <v>R$ 1.991,82</v>
      </c>
    </row>
    <row r="828" spans="1:11" x14ac:dyDescent="0.25">
      <c r="A828" t="str">
        <f>"03642470 / 1"</f>
        <v>03642470 / 1</v>
      </c>
      <c r="B828" t="str">
        <f>"13° Salário Anual"</f>
        <v>13° Salário Anual</v>
      </c>
      <c r="C828" t="str">
        <f>"Lidia Messias Monteiro Silva"</f>
        <v>Lidia Messias Monteiro Silva</v>
      </c>
      <c r="D828" t="str">
        <f>"INT TEMP CONTRIBUICAO"</f>
        <v>INT TEMP CONTRIBUICAO</v>
      </c>
      <c r="E828" t="str">
        <f>"Efetivo-Inativo I- RJUSM"</f>
        <v>Efetivo-Inativo I- RJUSM</v>
      </c>
      <c r="F828" t="str">
        <f>"R$ 2.327,17"</f>
        <v>R$ 2.327,17</v>
      </c>
      <c r="G828" t="str">
        <f>"R$ 3.025,32"</f>
        <v>R$ 3.025,32</v>
      </c>
      <c r="H828" t="str">
        <f t="shared" si="69"/>
        <v>R$ 0,00</v>
      </c>
      <c r="I828" t="str">
        <f>"R$ 3.025,32"</f>
        <v>R$ 3.025,32</v>
      </c>
      <c r="J828" t="str">
        <f>"R$ 1.512,66"</f>
        <v>R$ 1.512,66</v>
      </c>
      <c r="K828" t="str">
        <f>"R$ 1.512,66"</f>
        <v>R$ 1.512,66</v>
      </c>
    </row>
    <row r="829" spans="1:11" x14ac:dyDescent="0.25">
      <c r="A829" t="str">
        <f>"03642470 / 1"</f>
        <v>03642470 / 1</v>
      </c>
      <c r="B829" t="str">
        <f>"Folha Mensal"</f>
        <v>Folha Mensal</v>
      </c>
      <c r="C829" t="str">
        <f>"Lidia Messias Monteiro Silva"</f>
        <v>Lidia Messias Monteiro Silva</v>
      </c>
      <c r="D829" t="str">
        <f>"INT TEMP CONTRIBUICAO"</f>
        <v>INT TEMP CONTRIBUICAO</v>
      </c>
      <c r="E829" t="str">
        <f>"Efetivo-Inativo I- RJUSM"</f>
        <v>Efetivo-Inativo I- RJUSM</v>
      </c>
      <c r="F829" t="str">
        <f>"R$ 2.327,17"</f>
        <v>R$ 2.327,17</v>
      </c>
      <c r="G829" t="str">
        <f>"R$ 3.025,32"</f>
        <v>R$ 3.025,32</v>
      </c>
      <c r="H829" t="str">
        <f t="shared" si="69"/>
        <v>R$ 0,00</v>
      </c>
      <c r="I829" t="str">
        <f>"R$ 3.025,32"</f>
        <v>R$ 3.025,32</v>
      </c>
      <c r="J829" t="str">
        <f>"R$ 260,13"</f>
        <v>R$ 260,13</v>
      </c>
      <c r="K829" t="str">
        <f>"R$ 2.765,19"</f>
        <v>R$ 2.765,19</v>
      </c>
    </row>
    <row r="830" spans="1:11" x14ac:dyDescent="0.25">
      <c r="A830" t="str">
        <f>"00011223 / 3"</f>
        <v>00011223 / 3</v>
      </c>
      <c r="B830" t="str">
        <f>"13° Salário Anual"</f>
        <v>13° Salário Anual</v>
      </c>
      <c r="C830" t="str">
        <f>"Lilia Maria Cardoso Borges"</f>
        <v>Lilia Maria Cardoso Borges</v>
      </c>
      <c r="D830" t="str">
        <f>"INT TEMP CONTRIBUICAO"</f>
        <v>INT TEMP CONTRIBUICAO</v>
      </c>
      <c r="E830" t="str">
        <f>"Efetivo-Inativos II-RJUSM"</f>
        <v>Efetivo-Inativos II-RJUSM</v>
      </c>
      <c r="F830" t="str">
        <f>"R$ 1.100,00"</f>
        <v>R$ 1.100,00</v>
      </c>
      <c r="G830" t="str">
        <f>"R$ 1.375,00"</f>
        <v>R$ 1.375,00</v>
      </c>
      <c r="H830" t="str">
        <f t="shared" si="69"/>
        <v>R$ 0,00</v>
      </c>
      <c r="I830" t="str">
        <f>"R$ 1.375,00"</f>
        <v>R$ 1.375,00</v>
      </c>
      <c r="J830" t="str">
        <f>"R$ 687,50"</f>
        <v>R$ 687,50</v>
      </c>
      <c r="K830" t="str">
        <f>"R$ 687,50"</f>
        <v>R$ 687,50</v>
      </c>
    </row>
    <row r="831" spans="1:11" x14ac:dyDescent="0.25">
      <c r="A831" t="str">
        <f>"00011223 / 3"</f>
        <v>00011223 / 3</v>
      </c>
      <c r="B831" t="str">
        <f>"Folha Mensal"</f>
        <v>Folha Mensal</v>
      </c>
      <c r="C831" t="str">
        <f>"Lilia Maria Cardoso Borges"</f>
        <v>Lilia Maria Cardoso Borges</v>
      </c>
      <c r="D831" t="str">
        <f>"INT TEMP CONTRIBUICAO"</f>
        <v>INT TEMP CONTRIBUICAO</v>
      </c>
      <c r="E831" t="str">
        <f>"Efetivo-Inativos II-RJUSM"</f>
        <v>Efetivo-Inativos II-RJUSM</v>
      </c>
      <c r="F831" t="str">
        <f>"R$ 1.100,00"</f>
        <v>R$ 1.100,00</v>
      </c>
      <c r="G831" t="str">
        <f>"R$ 1.375,00"</f>
        <v>R$ 1.375,00</v>
      </c>
      <c r="H831" t="str">
        <f t="shared" si="69"/>
        <v>R$ 0,00</v>
      </c>
      <c r="I831" t="str">
        <f>"R$ 1.375,00"</f>
        <v>R$ 1.375,00</v>
      </c>
      <c r="J831" t="str">
        <f>"R$ 468,54"</f>
        <v>R$ 468,54</v>
      </c>
      <c r="K831" t="str">
        <f>"R$ 906,46"</f>
        <v>R$ 906,46</v>
      </c>
    </row>
    <row r="832" spans="1:11" x14ac:dyDescent="0.25">
      <c r="A832" t="str">
        <f>"03641465 / 1"</f>
        <v>03641465 / 1</v>
      </c>
      <c r="B832" t="str">
        <f>"13° Salário Anual"</f>
        <v>13° Salário Anual</v>
      </c>
      <c r="C832" t="str">
        <f>"Lilian da Costa Rocha"</f>
        <v>Lilian da Costa Rocha</v>
      </c>
      <c r="D832" t="str">
        <f>"DAS 06"</f>
        <v>DAS 06</v>
      </c>
      <c r="E832" t="str">
        <f>"Comissionado"</f>
        <v>Comissionado</v>
      </c>
      <c r="F832" t="str">
        <f>"R$ 2.427,00"</f>
        <v>R$ 2.427,00</v>
      </c>
      <c r="G832" t="str">
        <f>"R$ 1.415,75"</f>
        <v>R$ 1.415,75</v>
      </c>
      <c r="H832" t="str">
        <f t="shared" si="69"/>
        <v>R$ 0,00</v>
      </c>
      <c r="I832" t="str">
        <f>"R$ 1.415,75"</f>
        <v>R$ 1.415,75</v>
      </c>
      <c r="J832" t="str">
        <f>"R$ 818,78"</f>
        <v>R$ 818,78</v>
      </c>
      <c r="K832" t="str">
        <f>"R$ 596,97"</f>
        <v>R$ 596,97</v>
      </c>
    </row>
    <row r="833" spans="1:11" x14ac:dyDescent="0.25">
      <c r="A833" t="str">
        <f>"03641465 / 1"</f>
        <v>03641465 / 1</v>
      </c>
      <c r="B833" t="str">
        <f>"Folha Mensal"</f>
        <v>Folha Mensal</v>
      </c>
      <c r="C833" t="str">
        <f>"Lilian da Costa Rocha"</f>
        <v>Lilian da Costa Rocha</v>
      </c>
      <c r="D833" t="str">
        <f>"DAS 06"</f>
        <v>DAS 06</v>
      </c>
      <c r="E833" t="str">
        <f>"Comissionado"</f>
        <v>Comissionado</v>
      </c>
      <c r="F833" t="str">
        <f>"R$ 2.427,00"</f>
        <v>R$ 2.427,00</v>
      </c>
      <c r="G833" t="str">
        <f>"R$ 2.427,00"</f>
        <v>R$ 2.427,00</v>
      </c>
      <c r="H833" t="str">
        <f>"R$ 288,00"</f>
        <v>R$ 288,00</v>
      </c>
      <c r="I833" t="str">
        <f>"R$ 2.715,00"</f>
        <v>R$ 2.715,00</v>
      </c>
      <c r="J833" t="str">
        <f>"R$ 363,60"</f>
        <v>R$ 363,60</v>
      </c>
      <c r="K833" t="str">
        <f>"R$ 2.351,40"</f>
        <v>R$ 2.351,40</v>
      </c>
    </row>
    <row r="834" spans="1:11" x14ac:dyDescent="0.25">
      <c r="A834" t="str">
        <f>"00003689 / 1"</f>
        <v>00003689 / 1</v>
      </c>
      <c r="B834" t="str">
        <f>"13° Salário Anual"</f>
        <v>13° Salário Anual</v>
      </c>
      <c r="C834" t="str">
        <f>"Lindalva do Carmo Lopes"</f>
        <v>Lindalva do Carmo Lopes</v>
      </c>
      <c r="D834" t="str">
        <f>"PROFESSOR"</f>
        <v>PROFESSOR</v>
      </c>
      <c r="E834" t="str">
        <f>"Efetivo-Inativo I- RJUSM"</f>
        <v>Efetivo-Inativo I- RJUSM</v>
      </c>
      <c r="F834" t="str">
        <f>"R$ 1.593,46"</f>
        <v>R$ 1.593,46</v>
      </c>
      <c r="G834" t="str">
        <f>"R$ 1.991,82"</f>
        <v>R$ 1.991,82</v>
      </c>
      <c r="H834" t="str">
        <f t="shared" ref="H834:H860" si="70">"R$ 0,00"</f>
        <v>R$ 0,00</v>
      </c>
      <c r="I834" t="str">
        <f>"R$ 1.991,82"</f>
        <v>R$ 1.991,82</v>
      </c>
      <c r="J834" t="str">
        <f>"R$ 995,91"</f>
        <v>R$ 995,91</v>
      </c>
      <c r="K834" t="str">
        <f>"R$ 995,91"</f>
        <v>R$ 995,91</v>
      </c>
    </row>
    <row r="835" spans="1:11" x14ac:dyDescent="0.25">
      <c r="A835" t="str">
        <f>"00003689 / 1"</f>
        <v>00003689 / 1</v>
      </c>
      <c r="B835" t="str">
        <f>"Folha Mensal"</f>
        <v>Folha Mensal</v>
      </c>
      <c r="C835" t="str">
        <f>"Lindalva do Carmo Lopes"</f>
        <v>Lindalva do Carmo Lopes</v>
      </c>
      <c r="D835" t="str">
        <f>"PROFESSOR"</f>
        <v>PROFESSOR</v>
      </c>
      <c r="E835" t="str">
        <f>"Efetivo-Inativo I- RJUSM"</f>
        <v>Efetivo-Inativo I- RJUSM</v>
      </c>
      <c r="F835" t="str">
        <f>"R$ 1.593,46"</f>
        <v>R$ 1.593,46</v>
      </c>
      <c r="G835" t="str">
        <f>"R$ 1.991,82"</f>
        <v>R$ 1.991,82</v>
      </c>
      <c r="H835" t="str">
        <f t="shared" si="70"/>
        <v>R$ 0,00</v>
      </c>
      <c r="I835" t="str">
        <f>"R$ 1.991,82"</f>
        <v>R$ 1.991,82</v>
      </c>
      <c r="J835" t="str">
        <f>"R$ 392,65"</f>
        <v>R$ 392,65</v>
      </c>
      <c r="K835" t="str">
        <f>"R$ 1.599,17"</f>
        <v>R$ 1.599,17</v>
      </c>
    </row>
    <row r="836" spans="1:11" x14ac:dyDescent="0.25">
      <c r="A836" t="str">
        <f>"00075485 / 1"</f>
        <v>00075485 / 1</v>
      </c>
      <c r="B836" t="str">
        <f>"13° Salário Anual"</f>
        <v>13° Salário Anual</v>
      </c>
      <c r="C836" t="str">
        <f>"Lindalva Lima da Silva"</f>
        <v>Lindalva Lima da Silva</v>
      </c>
      <c r="D836" t="str">
        <f>"PROP COMPULSORIA"</f>
        <v>PROP COMPULSORIA</v>
      </c>
      <c r="E836" t="str">
        <f>"Efetivo-Inativos II-RJUSM"</f>
        <v>Efetivo-Inativos II-RJUSM</v>
      </c>
      <c r="F836" t="str">
        <f>"R$ 1.100,00"</f>
        <v>R$ 1.100,00</v>
      </c>
      <c r="G836" t="str">
        <f>"R$ 1.100,00"</f>
        <v>R$ 1.100,00</v>
      </c>
      <c r="H836" t="str">
        <f t="shared" si="70"/>
        <v>R$ 0,00</v>
      </c>
      <c r="I836" t="str">
        <f>"R$ 1.100,00"</f>
        <v>R$ 1.100,00</v>
      </c>
      <c r="J836" t="str">
        <f>"R$ 550,00"</f>
        <v>R$ 550,00</v>
      </c>
      <c r="K836" t="str">
        <f>"R$ 550,00"</f>
        <v>R$ 550,00</v>
      </c>
    </row>
    <row r="837" spans="1:11" x14ac:dyDescent="0.25">
      <c r="A837" t="str">
        <f>"00075485 / 1"</f>
        <v>00075485 / 1</v>
      </c>
      <c r="B837" t="str">
        <f>"Folha Mensal"</f>
        <v>Folha Mensal</v>
      </c>
      <c r="C837" t="str">
        <f>"Lindalva Lima da Silva"</f>
        <v>Lindalva Lima da Silva</v>
      </c>
      <c r="D837" t="str">
        <f>"PROP COMPULSORIA"</f>
        <v>PROP COMPULSORIA</v>
      </c>
      <c r="E837" t="str">
        <f>"Efetivo-Inativos II-RJUSM"</f>
        <v>Efetivo-Inativos II-RJUSM</v>
      </c>
      <c r="F837" t="str">
        <f>"R$ 1.100,00"</f>
        <v>R$ 1.100,00</v>
      </c>
      <c r="G837" t="str">
        <f>"R$ 1.100,00"</f>
        <v>R$ 1.100,00</v>
      </c>
      <c r="H837" t="str">
        <f t="shared" si="70"/>
        <v>R$ 0,00</v>
      </c>
      <c r="I837" t="str">
        <f>"R$ 1.100,00"</f>
        <v>R$ 1.100,00</v>
      </c>
      <c r="J837" t="str">
        <f>"R$ 213,22"</f>
        <v>R$ 213,22</v>
      </c>
      <c r="K837" t="str">
        <f>"R$ 886,78"</f>
        <v>R$ 886,78</v>
      </c>
    </row>
    <row r="838" spans="1:11" x14ac:dyDescent="0.25">
      <c r="A838" t="str">
        <f>"03642836 / 1"</f>
        <v>03642836 / 1</v>
      </c>
      <c r="B838" t="str">
        <f>"13° Salário Anual"</f>
        <v>13° Salário Anual</v>
      </c>
      <c r="C838" t="str">
        <f>"Lindalva Lopes Nonato"</f>
        <v>Lindalva Lopes Nonato</v>
      </c>
      <c r="D838" t="str">
        <f>"PENSIONISTA"</f>
        <v>PENSIONISTA</v>
      </c>
      <c r="E838" t="str">
        <f t="shared" ref="E838:E845" si="71">"Pensionista"</f>
        <v>Pensionista</v>
      </c>
      <c r="F838" t="str">
        <f>"R$ 1.100,00"</f>
        <v>R$ 1.100,00</v>
      </c>
      <c r="G838" t="str">
        <f>"R$ 1.210,00"</f>
        <v>R$ 1.210,00</v>
      </c>
      <c r="H838" t="str">
        <f t="shared" si="70"/>
        <v>R$ 0,00</v>
      </c>
      <c r="I838" t="str">
        <f>"R$ 1.210,00"</f>
        <v>R$ 1.210,00</v>
      </c>
      <c r="J838" t="str">
        <f>"R$ 605,00"</f>
        <v>R$ 605,00</v>
      </c>
      <c r="K838" t="str">
        <f>"R$ 605,00"</f>
        <v>R$ 605,00</v>
      </c>
    </row>
    <row r="839" spans="1:11" x14ac:dyDescent="0.25">
      <c r="A839" t="str">
        <f>"03642836 / 1"</f>
        <v>03642836 / 1</v>
      </c>
      <c r="B839" t="str">
        <f>"Folha Mensal"</f>
        <v>Folha Mensal</v>
      </c>
      <c r="C839" t="str">
        <f>"Lindalva Lopes Nonato"</f>
        <v>Lindalva Lopes Nonato</v>
      </c>
      <c r="D839" t="str">
        <f>"PENSIONISTA"</f>
        <v>PENSIONISTA</v>
      </c>
      <c r="E839" t="str">
        <f t="shared" si="71"/>
        <v>Pensionista</v>
      </c>
      <c r="F839" t="str">
        <f>"R$ 1.100,00"</f>
        <v>R$ 1.100,00</v>
      </c>
      <c r="G839" t="str">
        <f>"R$ 1.210,00"</f>
        <v>R$ 1.210,00</v>
      </c>
      <c r="H839" t="str">
        <f t="shared" si="70"/>
        <v>R$ 0,00</v>
      </c>
      <c r="I839" t="str">
        <f>"R$ 1.210,00"</f>
        <v>R$ 1.210,00</v>
      </c>
      <c r="J839" t="str">
        <f>"R$ 328,25"</f>
        <v>R$ 328,25</v>
      </c>
      <c r="K839" t="str">
        <f>"R$ 881,75"</f>
        <v>R$ 881,75</v>
      </c>
    </row>
    <row r="840" spans="1:11" x14ac:dyDescent="0.25">
      <c r="A840" t="str">
        <f>"03641554 / 1"</f>
        <v>03641554 / 1</v>
      </c>
      <c r="B840" t="str">
        <f>"13° Salário Anual"</f>
        <v>13° Salário Anual</v>
      </c>
      <c r="C840" t="str">
        <f>"Livia Oliveira Luz"</f>
        <v>Livia Oliveira Luz</v>
      </c>
      <c r="D840" t="str">
        <f>"PENS. ATE 10/06/2025"</f>
        <v>PENS. ATE 10/06/2025</v>
      </c>
      <c r="E840" t="str">
        <f t="shared" si="71"/>
        <v>Pensionista</v>
      </c>
      <c r="F840" t="str">
        <f>"R$ 2.091,43"</f>
        <v>R$ 2.091,43</v>
      </c>
      <c r="G840" t="str">
        <f>"R$ 2.509,71"</f>
        <v>R$ 2.509,71</v>
      </c>
      <c r="H840" t="str">
        <f t="shared" si="70"/>
        <v>R$ 0,00</v>
      </c>
      <c r="I840" t="str">
        <f>"R$ 2.509,71"</f>
        <v>R$ 2.509,71</v>
      </c>
      <c r="J840" t="str">
        <f>"R$ 1.300,27"</f>
        <v>R$ 1.300,27</v>
      </c>
      <c r="K840" t="str">
        <f>"R$ 1.209,44"</f>
        <v>R$ 1.209,44</v>
      </c>
    </row>
    <row r="841" spans="1:11" x14ac:dyDescent="0.25">
      <c r="A841" t="str">
        <f>"03641554 / 1"</f>
        <v>03641554 / 1</v>
      </c>
      <c r="B841" t="str">
        <f>"Folha Mensal"</f>
        <v>Folha Mensal</v>
      </c>
      <c r="C841" t="str">
        <f>"Livia Oliveira Luz"</f>
        <v>Livia Oliveira Luz</v>
      </c>
      <c r="D841" t="str">
        <f>"PENS. ATE 10/06/2025"</f>
        <v>PENS. ATE 10/06/2025</v>
      </c>
      <c r="E841" t="str">
        <f t="shared" si="71"/>
        <v>Pensionista</v>
      </c>
      <c r="F841" t="str">
        <f>"R$ 2.091,43"</f>
        <v>R$ 2.091,43</v>
      </c>
      <c r="G841" t="str">
        <f>"R$ 2.509,71"</f>
        <v>R$ 2.509,71</v>
      </c>
      <c r="H841" t="str">
        <f t="shared" si="70"/>
        <v>R$ 0,00</v>
      </c>
      <c r="I841" t="str">
        <f>"R$ 2.509,71"</f>
        <v>R$ 2.509,71</v>
      </c>
      <c r="J841" t="str">
        <f>"R$ 45,42"</f>
        <v>R$ 45,42</v>
      </c>
      <c r="K841" t="str">
        <f>"R$ 2.464,29"</f>
        <v>R$ 2.464,29</v>
      </c>
    </row>
    <row r="842" spans="1:11" x14ac:dyDescent="0.25">
      <c r="A842" t="str">
        <f>"03641457 / 1"</f>
        <v>03641457 / 1</v>
      </c>
      <c r="B842" t="str">
        <f>"13° Salário Anual"</f>
        <v>13° Salário Anual</v>
      </c>
      <c r="C842" t="str">
        <f>"Lorena Cassia Aleixo Melo"</f>
        <v>Lorena Cassia Aleixo Melo</v>
      </c>
      <c r="D842" t="str">
        <f>"PENSIONISTA"</f>
        <v>PENSIONISTA</v>
      </c>
      <c r="E842" t="str">
        <f t="shared" si="71"/>
        <v>Pensionista</v>
      </c>
      <c r="F842" t="str">
        <f>"R$ 295,95"</f>
        <v>R$ 295,95</v>
      </c>
      <c r="G842" t="str">
        <f>"R$ 246,62"</f>
        <v>R$ 246,62</v>
      </c>
      <c r="H842" t="str">
        <f t="shared" si="70"/>
        <v>R$ 0,00</v>
      </c>
      <c r="I842" t="str">
        <f>"R$ 246,62"</f>
        <v>R$ 246,62</v>
      </c>
      <c r="J842" t="str">
        <f>"R$ 123,31"</f>
        <v>R$ 123,31</v>
      </c>
      <c r="K842" t="str">
        <f>"R$ 123,31"</f>
        <v>R$ 123,31</v>
      </c>
    </row>
    <row r="843" spans="1:11" x14ac:dyDescent="0.25">
      <c r="A843" t="str">
        <f>"03641457 / 1"</f>
        <v>03641457 / 1</v>
      </c>
      <c r="B843" t="str">
        <f>"Folha Mensal"</f>
        <v>Folha Mensal</v>
      </c>
      <c r="C843" t="str">
        <f>"Lorena Cassia Aleixo Melo"</f>
        <v>Lorena Cassia Aleixo Melo</v>
      </c>
      <c r="D843" t="str">
        <f>"PENSIONISTA"</f>
        <v>PENSIONISTA</v>
      </c>
      <c r="E843" t="str">
        <f t="shared" si="71"/>
        <v>Pensionista</v>
      </c>
      <c r="F843" t="str">
        <f>"R$ 295,95"</f>
        <v>R$ 295,95</v>
      </c>
      <c r="G843" t="str">
        <f>"R$ 295,95"</f>
        <v>R$ 295,95</v>
      </c>
      <c r="H843" t="str">
        <f t="shared" si="70"/>
        <v>R$ 0,00</v>
      </c>
      <c r="I843" t="str">
        <f>"R$ 295,95"</f>
        <v>R$ 295,95</v>
      </c>
      <c r="J843" t="str">
        <f>"R$ 0,00"</f>
        <v>R$ 0,00</v>
      </c>
      <c r="K843" t="str">
        <f>"R$ 295,95"</f>
        <v>R$ 295,95</v>
      </c>
    </row>
    <row r="844" spans="1:11" x14ac:dyDescent="0.25">
      <c r="A844" t="str">
        <f>"03641562 / 1"</f>
        <v>03641562 / 1</v>
      </c>
      <c r="B844" t="str">
        <f>"13° Salário Anual"</f>
        <v>13° Salário Anual</v>
      </c>
      <c r="C844" t="str">
        <f>"Luana Carolina Hermes Ferreira"</f>
        <v>Luana Carolina Hermes Ferreira</v>
      </c>
      <c r="D844" t="str">
        <f>"PENS TEMP ATE 17/08/32"</f>
        <v>PENS TEMP ATE 17/08/32</v>
      </c>
      <c r="E844" t="str">
        <f t="shared" si="71"/>
        <v>Pensionista</v>
      </c>
      <c r="F844" t="str">
        <f>"R$ 1.328,55"</f>
        <v>R$ 1.328,55</v>
      </c>
      <c r="G844" t="str">
        <f>"R$ 1.394,97"</f>
        <v>R$ 1.394,97</v>
      </c>
      <c r="H844" t="str">
        <f t="shared" si="70"/>
        <v>R$ 0,00</v>
      </c>
      <c r="I844" t="str">
        <f>"R$ 1.394,97"</f>
        <v>R$ 1.394,97</v>
      </c>
      <c r="J844" t="str">
        <f>"R$ 697,48"</f>
        <v>R$ 697,48</v>
      </c>
      <c r="K844" t="str">
        <f>"R$ 697,49"</f>
        <v>R$ 697,49</v>
      </c>
    </row>
    <row r="845" spans="1:11" x14ac:dyDescent="0.25">
      <c r="A845" t="str">
        <f>"03641562 / 1"</f>
        <v>03641562 / 1</v>
      </c>
      <c r="B845" t="str">
        <f>"Folha Mensal"</f>
        <v>Folha Mensal</v>
      </c>
      <c r="C845" t="str">
        <f>"Luana Carolina Hermes Ferreira"</f>
        <v>Luana Carolina Hermes Ferreira</v>
      </c>
      <c r="D845" t="str">
        <f>"PENS TEMP ATE 17/08/32"</f>
        <v>PENS TEMP ATE 17/08/32</v>
      </c>
      <c r="E845" t="str">
        <f t="shared" si="71"/>
        <v>Pensionista</v>
      </c>
      <c r="F845" t="str">
        <f>"R$ 1.328,55"</f>
        <v>R$ 1.328,55</v>
      </c>
      <c r="G845" t="str">
        <f>"R$ 1.394,97"</f>
        <v>R$ 1.394,97</v>
      </c>
      <c r="H845" t="str">
        <f t="shared" si="70"/>
        <v>R$ 0,00</v>
      </c>
      <c r="I845" t="str">
        <f>"R$ 1.394,97"</f>
        <v>R$ 1.394,97</v>
      </c>
      <c r="J845" t="str">
        <f>"R$ 0,00"</f>
        <v>R$ 0,00</v>
      </c>
      <c r="K845" t="str">
        <f>"R$ 1.394,97"</f>
        <v>R$ 1.394,97</v>
      </c>
    </row>
    <row r="846" spans="1:11" x14ac:dyDescent="0.25">
      <c r="A846" t="str">
        <f>"03640981 / 1"</f>
        <v>03640981 / 1</v>
      </c>
      <c r="B846" t="str">
        <f>"13° Salário Anual"</f>
        <v>13° Salário Anual</v>
      </c>
      <c r="C846" t="str">
        <f>"Lucas Manfred de Vasconcelos"</f>
        <v>Lucas Manfred de Vasconcelos</v>
      </c>
      <c r="D846" t="str">
        <f>"DAS 04"</f>
        <v>DAS 04</v>
      </c>
      <c r="E846" t="str">
        <f>"Comissionado"</f>
        <v>Comissionado</v>
      </c>
      <c r="F846" t="str">
        <f>"R$ 1.685,13"</f>
        <v>R$ 1.685,13</v>
      </c>
      <c r="G846" t="str">
        <f>"R$ 1.404,27"</f>
        <v>R$ 1.404,27</v>
      </c>
      <c r="H846" t="str">
        <f t="shared" si="70"/>
        <v>R$ 0,00</v>
      </c>
      <c r="I846" t="str">
        <f>"R$ 1.404,27"</f>
        <v>R$ 1.404,27</v>
      </c>
      <c r="J846" t="str">
        <f>"R$ 812,01"</f>
        <v>R$ 812,01</v>
      </c>
      <c r="K846" t="str">
        <f>"R$ 592,26"</f>
        <v>R$ 592,26</v>
      </c>
    </row>
    <row r="847" spans="1:11" x14ac:dyDescent="0.25">
      <c r="A847" t="str">
        <f>"03640981 / 1"</f>
        <v>03640981 / 1</v>
      </c>
      <c r="B847" t="str">
        <f>"Folha Mensal"</f>
        <v>Folha Mensal</v>
      </c>
      <c r="C847" t="str">
        <f>"Lucas Manfred de Vasconcelos"</f>
        <v>Lucas Manfred de Vasconcelos</v>
      </c>
      <c r="D847" t="str">
        <f>"DAS 04"</f>
        <v>DAS 04</v>
      </c>
      <c r="E847" t="str">
        <f>"Comissionado"</f>
        <v>Comissionado</v>
      </c>
      <c r="F847" t="str">
        <f>"R$ 1.685,13"</f>
        <v>R$ 1.685,13</v>
      </c>
      <c r="G847" t="str">
        <f>"R$ 1.685,13"</f>
        <v>R$ 1.685,13</v>
      </c>
      <c r="H847" t="str">
        <f t="shared" si="70"/>
        <v>R$ 0,00</v>
      </c>
      <c r="I847" t="str">
        <f>"R$ 1.685,13"</f>
        <v>R$ 1.685,13</v>
      </c>
      <c r="J847" t="str">
        <f>"R$ 135,16"</f>
        <v>R$ 135,16</v>
      </c>
      <c r="K847" t="str">
        <f>"R$ 1.549,97"</f>
        <v>R$ 1.549,97</v>
      </c>
    </row>
    <row r="848" spans="1:11" x14ac:dyDescent="0.25">
      <c r="A848" t="str">
        <f>"00023876 / 1"</f>
        <v>00023876 / 1</v>
      </c>
      <c r="B848" t="str">
        <f>"13° Salário Anual"</f>
        <v>13° Salário Anual</v>
      </c>
      <c r="C848" t="str">
        <f>"Lucelina Xavier de Lima"</f>
        <v>Lucelina Xavier de Lima</v>
      </c>
      <c r="D848" t="str">
        <f>"PROFESSOR"</f>
        <v>PROFESSOR</v>
      </c>
      <c r="E848" t="str">
        <f>"Efetivo-Inativo I- RJUSM"</f>
        <v>Efetivo-Inativo I- RJUSM</v>
      </c>
      <c r="F848" t="str">
        <f>"R$ 1.593,46"</f>
        <v>R$ 1.593,46</v>
      </c>
      <c r="G848" t="str">
        <f>"R$ 1.991,82"</f>
        <v>R$ 1.991,82</v>
      </c>
      <c r="H848" t="str">
        <f t="shared" si="70"/>
        <v>R$ 0,00</v>
      </c>
      <c r="I848" t="str">
        <f>"R$ 1.991,82"</f>
        <v>R$ 1.991,82</v>
      </c>
      <c r="J848" t="str">
        <f>"R$ 995,91"</f>
        <v>R$ 995,91</v>
      </c>
      <c r="K848" t="str">
        <f>"R$ 995,91"</f>
        <v>R$ 995,91</v>
      </c>
    </row>
    <row r="849" spans="1:11" x14ac:dyDescent="0.25">
      <c r="A849" t="str">
        <f>"00023876 / 1"</f>
        <v>00023876 / 1</v>
      </c>
      <c r="B849" t="str">
        <f>"Folha Mensal"</f>
        <v>Folha Mensal</v>
      </c>
      <c r="C849" t="str">
        <f>"Lucelina Xavier de Lima"</f>
        <v>Lucelina Xavier de Lima</v>
      </c>
      <c r="D849" t="str">
        <f>"PROFESSOR"</f>
        <v>PROFESSOR</v>
      </c>
      <c r="E849" t="str">
        <f>"Efetivo-Inativo I- RJUSM"</f>
        <v>Efetivo-Inativo I- RJUSM</v>
      </c>
      <c r="F849" t="str">
        <f>"R$ 1.593,46"</f>
        <v>R$ 1.593,46</v>
      </c>
      <c r="G849" t="str">
        <f>"R$ 1.991,82"</f>
        <v>R$ 1.991,82</v>
      </c>
      <c r="H849" t="str">
        <f t="shared" si="70"/>
        <v>R$ 0,00</v>
      </c>
      <c r="I849" t="str">
        <f>"R$ 1.991,82"</f>
        <v>R$ 1.991,82</v>
      </c>
      <c r="J849" t="str">
        <f>"R$ 0,00"</f>
        <v>R$ 0,00</v>
      </c>
      <c r="K849" t="str">
        <f>"R$ 1.991,82"</f>
        <v>R$ 1.991,82</v>
      </c>
    </row>
    <row r="850" spans="1:11" x14ac:dyDescent="0.25">
      <c r="A850" t="str">
        <f>"00000434 / 1"</f>
        <v>00000434 / 1</v>
      </c>
      <c r="B850" t="str">
        <f>"13° Salário Anual"</f>
        <v>13° Salário Anual</v>
      </c>
      <c r="C850" t="str">
        <f>"Lucia de Fatima da Silva Wanderley"</f>
        <v>Lucia de Fatima da Silva Wanderley</v>
      </c>
      <c r="D850" t="str">
        <f>"PROFESSOR"</f>
        <v>PROFESSOR</v>
      </c>
      <c r="E850" t="str">
        <f>"Efetivo-Inativo I- RJUSM"</f>
        <v>Efetivo-Inativo I- RJUSM</v>
      </c>
      <c r="F850" t="str">
        <f>"R$ 1.593,46"</f>
        <v>R$ 1.593,46</v>
      </c>
      <c r="G850" t="str">
        <f>"R$ 1.991,82"</f>
        <v>R$ 1.991,82</v>
      </c>
      <c r="H850" t="str">
        <f t="shared" si="70"/>
        <v>R$ 0,00</v>
      </c>
      <c r="I850" t="str">
        <f>"R$ 1.991,82"</f>
        <v>R$ 1.991,82</v>
      </c>
      <c r="J850" t="str">
        <f>"R$ 995,91"</f>
        <v>R$ 995,91</v>
      </c>
      <c r="K850" t="str">
        <f>"R$ 995,91"</f>
        <v>R$ 995,91</v>
      </c>
    </row>
    <row r="851" spans="1:11" x14ac:dyDescent="0.25">
      <c r="A851" t="str">
        <f>"00000434 / 1"</f>
        <v>00000434 / 1</v>
      </c>
      <c r="B851" t="str">
        <f>"Folha Mensal"</f>
        <v>Folha Mensal</v>
      </c>
      <c r="C851" t="str">
        <f>"Lucia de Fatima da Silva Wanderley"</f>
        <v>Lucia de Fatima da Silva Wanderley</v>
      </c>
      <c r="D851" t="str">
        <f>"PROFESSOR"</f>
        <v>PROFESSOR</v>
      </c>
      <c r="E851" t="str">
        <f>"Efetivo-Inativo I- RJUSM"</f>
        <v>Efetivo-Inativo I- RJUSM</v>
      </c>
      <c r="F851" t="str">
        <f>"R$ 1.593,46"</f>
        <v>R$ 1.593,46</v>
      </c>
      <c r="G851" t="str">
        <f>"R$ 1.991,82"</f>
        <v>R$ 1.991,82</v>
      </c>
      <c r="H851" t="str">
        <f t="shared" si="70"/>
        <v>R$ 0,00</v>
      </c>
      <c r="I851" t="str">
        <f>"R$ 1.991,82"</f>
        <v>R$ 1.991,82</v>
      </c>
      <c r="J851" t="str">
        <f>"R$ 0,00"</f>
        <v>R$ 0,00</v>
      </c>
      <c r="K851" t="str">
        <f>"R$ 1.991,82"</f>
        <v>R$ 1.991,82</v>
      </c>
    </row>
    <row r="852" spans="1:11" x14ac:dyDescent="0.25">
      <c r="A852" t="str">
        <f>"00008117 / 1"</f>
        <v>00008117 / 1</v>
      </c>
      <c r="B852" t="str">
        <f>"13° Salário Anual"</f>
        <v>13° Salário Anual</v>
      </c>
      <c r="C852" t="str">
        <f>"Lucia de Lourdes Teixeira Pedrosa"</f>
        <v>Lucia de Lourdes Teixeira Pedrosa</v>
      </c>
      <c r="D852" t="str">
        <f>"INT TEMP CONTRIBUICAO"</f>
        <v>INT TEMP CONTRIBUICAO</v>
      </c>
      <c r="E852" t="str">
        <f>"Efetivo-Inativos II-RJUSM"</f>
        <v>Efetivo-Inativos II-RJUSM</v>
      </c>
      <c r="F852" t="str">
        <f>"R$ 1.100,00"</f>
        <v>R$ 1.100,00</v>
      </c>
      <c r="G852" t="str">
        <f>"R$ 1.430,00"</f>
        <v>R$ 1.430,00</v>
      </c>
      <c r="H852" t="str">
        <f t="shared" si="70"/>
        <v>R$ 0,00</v>
      </c>
      <c r="I852" t="str">
        <f>"R$ 1.430,00"</f>
        <v>R$ 1.430,00</v>
      </c>
      <c r="J852" t="str">
        <f>"R$ 715,00"</f>
        <v>R$ 715,00</v>
      </c>
      <c r="K852" t="str">
        <f>"R$ 715,00"</f>
        <v>R$ 715,00</v>
      </c>
    </row>
    <row r="853" spans="1:11" x14ac:dyDescent="0.25">
      <c r="A853" t="str">
        <f>"00008117 / 1"</f>
        <v>00008117 / 1</v>
      </c>
      <c r="B853" t="str">
        <f>"Folha Mensal"</f>
        <v>Folha Mensal</v>
      </c>
      <c r="C853" t="str">
        <f>"Lucia de Lourdes Teixeira Pedrosa"</f>
        <v>Lucia de Lourdes Teixeira Pedrosa</v>
      </c>
      <c r="D853" t="str">
        <f>"INT TEMP CONTRIBUICAO"</f>
        <v>INT TEMP CONTRIBUICAO</v>
      </c>
      <c r="E853" t="str">
        <f>"Efetivo-Inativos II-RJUSM"</f>
        <v>Efetivo-Inativos II-RJUSM</v>
      </c>
      <c r="F853" t="str">
        <f>"R$ 1.100,00"</f>
        <v>R$ 1.100,00</v>
      </c>
      <c r="G853" t="str">
        <f>"R$ 1.430,00"</f>
        <v>R$ 1.430,00</v>
      </c>
      <c r="H853" t="str">
        <f t="shared" si="70"/>
        <v>R$ 0,00</v>
      </c>
      <c r="I853" t="str">
        <f>"R$ 1.430,00"</f>
        <v>R$ 1.430,00</v>
      </c>
      <c r="J853" t="str">
        <f>"R$ 498,70"</f>
        <v>R$ 498,70</v>
      </c>
      <c r="K853" t="str">
        <f>"R$ 931,30"</f>
        <v>R$ 931,30</v>
      </c>
    </row>
    <row r="854" spans="1:11" x14ac:dyDescent="0.25">
      <c r="A854" t="str">
        <f>"00001619 / 1"</f>
        <v>00001619 / 1</v>
      </c>
      <c r="B854" t="str">
        <f>"13° Salário Anual"</f>
        <v>13° Salário Anual</v>
      </c>
      <c r="C854" t="str">
        <f>"Lucia Maria Souza da Silva"</f>
        <v>Lucia Maria Souza da Silva</v>
      </c>
      <c r="D854" t="str">
        <f>"PROFESSOR"</f>
        <v>PROFESSOR</v>
      </c>
      <c r="E854" t="str">
        <f t="shared" ref="E854:E859" si="72">"Efetivo-Inativo I- RJUSM"</f>
        <v>Efetivo-Inativo I- RJUSM</v>
      </c>
      <c r="F854" t="str">
        <f>"R$ 2.071,51"</f>
        <v>R$ 2.071,51</v>
      </c>
      <c r="G854" t="str">
        <f>"R$ 2.589,38"</f>
        <v>R$ 2.589,38</v>
      </c>
      <c r="H854" t="str">
        <f t="shared" si="70"/>
        <v>R$ 0,00</v>
      </c>
      <c r="I854" t="str">
        <f>"R$ 2.589,38"</f>
        <v>R$ 2.589,38</v>
      </c>
      <c r="J854" t="str">
        <f>"R$ 1.294,69"</f>
        <v>R$ 1.294,69</v>
      </c>
      <c r="K854" t="str">
        <f>"R$ 1.294,69"</f>
        <v>R$ 1.294,69</v>
      </c>
    </row>
    <row r="855" spans="1:11" x14ac:dyDescent="0.25">
      <c r="A855" t="str">
        <f>"00001619 / 1"</f>
        <v>00001619 / 1</v>
      </c>
      <c r="B855" t="str">
        <f>"Folha Mensal"</f>
        <v>Folha Mensal</v>
      </c>
      <c r="C855" t="str">
        <f>"Lucia Maria Souza da Silva"</f>
        <v>Lucia Maria Souza da Silva</v>
      </c>
      <c r="D855" t="str">
        <f>"PROFESSOR"</f>
        <v>PROFESSOR</v>
      </c>
      <c r="E855" t="str">
        <f t="shared" si="72"/>
        <v>Efetivo-Inativo I- RJUSM</v>
      </c>
      <c r="F855" t="str">
        <f>"R$ 2.071,51"</f>
        <v>R$ 2.071,51</v>
      </c>
      <c r="G855" t="str">
        <f>"R$ 2.589,38"</f>
        <v>R$ 2.589,38</v>
      </c>
      <c r="H855" t="str">
        <f t="shared" si="70"/>
        <v>R$ 0,00</v>
      </c>
      <c r="I855" t="str">
        <f>"R$ 2.589,38"</f>
        <v>R$ 2.589,38</v>
      </c>
      <c r="J855" t="str">
        <f>"R$ 541,26"</f>
        <v>R$ 541,26</v>
      </c>
      <c r="K855" t="str">
        <f>"R$ 2.048,12"</f>
        <v>R$ 2.048,12</v>
      </c>
    </row>
    <row r="856" spans="1:11" x14ac:dyDescent="0.25">
      <c r="A856" t="str">
        <f>"00012076 / 1"</f>
        <v>00012076 / 1</v>
      </c>
      <c r="B856" t="str">
        <f>"13° Salário Anual"</f>
        <v>13° Salário Anual</v>
      </c>
      <c r="C856" t="str">
        <f>"Lucia Rodrigues Costa da Silva"</f>
        <v>Lucia Rodrigues Costa da Silva</v>
      </c>
      <c r="D856" t="str">
        <f>"PROFESSOR"</f>
        <v>PROFESSOR</v>
      </c>
      <c r="E856" t="str">
        <f t="shared" si="72"/>
        <v>Efetivo-Inativo I- RJUSM</v>
      </c>
      <c r="F856" t="str">
        <f>"R$ 1.593,46"</f>
        <v>R$ 1.593,46</v>
      </c>
      <c r="G856" t="str">
        <f>"R$ 2.297,76"</f>
        <v>R$ 2.297,76</v>
      </c>
      <c r="H856" t="str">
        <f t="shared" si="70"/>
        <v>R$ 0,00</v>
      </c>
      <c r="I856" t="str">
        <f>"R$ 2.297,76"</f>
        <v>R$ 2.297,76</v>
      </c>
      <c r="J856" t="str">
        <f>"R$ 1.148,88"</f>
        <v>R$ 1.148,88</v>
      </c>
      <c r="K856" t="str">
        <f>"R$ 1.148,88"</f>
        <v>R$ 1.148,88</v>
      </c>
    </row>
    <row r="857" spans="1:11" x14ac:dyDescent="0.25">
      <c r="A857" t="str">
        <f>"00012076 / 1"</f>
        <v>00012076 / 1</v>
      </c>
      <c r="B857" t="str">
        <f>"Folha Mensal"</f>
        <v>Folha Mensal</v>
      </c>
      <c r="C857" t="str">
        <f>"Lucia Rodrigues Costa da Silva"</f>
        <v>Lucia Rodrigues Costa da Silva</v>
      </c>
      <c r="D857" t="str">
        <f>"PROFESSOR"</f>
        <v>PROFESSOR</v>
      </c>
      <c r="E857" t="str">
        <f t="shared" si="72"/>
        <v>Efetivo-Inativo I- RJUSM</v>
      </c>
      <c r="F857" t="str">
        <f>"R$ 1.593,46"</f>
        <v>R$ 1.593,46</v>
      </c>
      <c r="G857" t="str">
        <f>"R$ 2.297,76"</f>
        <v>R$ 2.297,76</v>
      </c>
      <c r="H857" t="str">
        <f t="shared" si="70"/>
        <v>R$ 0,00</v>
      </c>
      <c r="I857" t="str">
        <f>"R$ 2.297,76"</f>
        <v>R$ 2.297,76</v>
      </c>
      <c r="J857" t="str">
        <f>"R$ 0,00"</f>
        <v>R$ 0,00</v>
      </c>
      <c r="K857" t="str">
        <f>"R$ 2.297,76"</f>
        <v>R$ 2.297,76</v>
      </c>
    </row>
    <row r="858" spans="1:11" x14ac:dyDescent="0.25">
      <c r="A858" t="str">
        <f>"00026131 / 1"</f>
        <v>00026131 / 1</v>
      </c>
      <c r="B858" t="str">
        <f>"13° Salário Anual"</f>
        <v>13° Salário Anual</v>
      </c>
      <c r="C858" t="str">
        <f>"Lucia Soares Lucena"</f>
        <v>Lucia Soares Lucena</v>
      </c>
      <c r="D858" t="str">
        <f>"INT TEMP SERVICO"</f>
        <v>INT TEMP SERVICO</v>
      </c>
      <c r="E858" t="str">
        <f t="shared" si="72"/>
        <v>Efetivo-Inativo I- RJUSM</v>
      </c>
      <c r="F858" t="str">
        <f>"R$ 1.529,68"</f>
        <v>R$ 1.529,68</v>
      </c>
      <c r="G858" t="str">
        <f>"R$ 1.912,10"</f>
        <v>R$ 1.912,10</v>
      </c>
      <c r="H858" t="str">
        <f t="shared" si="70"/>
        <v>R$ 0,00</v>
      </c>
      <c r="I858" t="str">
        <f>"R$ 1.912,10"</f>
        <v>R$ 1.912,10</v>
      </c>
      <c r="J858" t="str">
        <f>"R$ 956,05"</f>
        <v>R$ 956,05</v>
      </c>
      <c r="K858" t="str">
        <f>"R$ 956,05"</f>
        <v>R$ 956,05</v>
      </c>
    </row>
    <row r="859" spans="1:11" x14ac:dyDescent="0.25">
      <c r="A859" t="str">
        <f>"00026131 / 1"</f>
        <v>00026131 / 1</v>
      </c>
      <c r="B859" t="str">
        <f>"Folha Mensal"</f>
        <v>Folha Mensal</v>
      </c>
      <c r="C859" t="str">
        <f>"Lucia Soares Lucena"</f>
        <v>Lucia Soares Lucena</v>
      </c>
      <c r="D859" t="str">
        <f>"INT TEMP SERVICO"</f>
        <v>INT TEMP SERVICO</v>
      </c>
      <c r="E859" t="str">
        <f t="shared" si="72"/>
        <v>Efetivo-Inativo I- RJUSM</v>
      </c>
      <c r="F859" t="str">
        <f>"R$ 1.529,68"</f>
        <v>R$ 1.529,68</v>
      </c>
      <c r="G859" t="str">
        <f>"R$ 1.912,10"</f>
        <v>R$ 1.912,10</v>
      </c>
      <c r="H859" t="str">
        <f t="shared" si="70"/>
        <v>R$ 0,00</v>
      </c>
      <c r="I859" t="str">
        <f>"R$ 1.912,10"</f>
        <v>R$ 1.912,10</v>
      </c>
      <c r="J859" t="str">
        <f>"R$ 0,00"</f>
        <v>R$ 0,00</v>
      </c>
      <c r="K859" t="str">
        <f>"R$ 1.912,10"</f>
        <v>R$ 1.912,10</v>
      </c>
    </row>
    <row r="860" spans="1:11" x14ac:dyDescent="0.25">
      <c r="A860" t="str">
        <f>"03640370 / 1"</f>
        <v>03640370 / 1</v>
      </c>
      <c r="B860" t="str">
        <f>"13° Salário Anual"</f>
        <v>13° Salário Anual</v>
      </c>
      <c r="C860" t="str">
        <f>"Luciane Macedo Guimaraes"</f>
        <v>Luciane Macedo Guimaraes</v>
      </c>
      <c r="D860" t="str">
        <f>"DAS 07"</f>
        <v>DAS 07</v>
      </c>
      <c r="E860" t="str">
        <f>"Comissionado"</f>
        <v>Comissionado</v>
      </c>
      <c r="F860" t="str">
        <f>"R$ 3.154,55"</f>
        <v>R$ 3.154,55</v>
      </c>
      <c r="G860" t="str">
        <f>"R$ 3.154,55"</f>
        <v>R$ 3.154,55</v>
      </c>
      <c r="H860" t="str">
        <f t="shared" si="70"/>
        <v>R$ 0,00</v>
      </c>
      <c r="I860" t="str">
        <f>"R$ 3.154,55"</f>
        <v>R$ 3.154,55</v>
      </c>
      <c r="J860" t="str">
        <f>"R$ 1.947,19"</f>
        <v>R$ 1.947,19</v>
      </c>
      <c r="K860" t="str">
        <f>"R$ 1.207,36"</f>
        <v>R$ 1.207,36</v>
      </c>
    </row>
    <row r="861" spans="1:11" x14ac:dyDescent="0.25">
      <c r="A861" t="str">
        <f>"03640370 / 1"</f>
        <v>03640370 / 1</v>
      </c>
      <c r="B861" t="str">
        <f>"Folha Mensal"</f>
        <v>Folha Mensal</v>
      </c>
      <c r="C861" t="str">
        <f>"Luciane Macedo Guimaraes"</f>
        <v>Luciane Macedo Guimaraes</v>
      </c>
      <c r="D861" t="str">
        <f>"DAS 07"</f>
        <v>DAS 07</v>
      </c>
      <c r="E861" t="str">
        <f>"Comissionado"</f>
        <v>Comissionado</v>
      </c>
      <c r="F861" t="str">
        <f>"R$ 3.154,55"</f>
        <v>R$ 3.154,55</v>
      </c>
      <c r="G861" t="str">
        <f>"R$ 7.360,61"</f>
        <v>R$ 7.360,61</v>
      </c>
      <c r="H861" t="str">
        <f>"R$ 288,00"</f>
        <v>R$ 288,00</v>
      </c>
      <c r="I861" t="str">
        <f>"R$ 7.648,61"</f>
        <v>R$ 7.648,61</v>
      </c>
      <c r="J861" t="str">
        <f>"R$ 1.633,89"</f>
        <v>R$ 1.633,89</v>
      </c>
      <c r="K861" t="str">
        <f>"R$ 6.014,72"</f>
        <v>R$ 6.014,72</v>
      </c>
    </row>
    <row r="862" spans="1:11" x14ac:dyDescent="0.25">
      <c r="A862" t="str">
        <f>"00004987 / 1"</f>
        <v>00004987 / 1</v>
      </c>
      <c r="B862" t="str">
        <f>"13° Salário Anual"</f>
        <v>13° Salário Anual</v>
      </c>
      <c r="C862" t="str">
        <f>"Luciete de Moraes Rodrigues"</f>
        <v>Luciete de Moraes Rodrigues</v>
      </c>
      <c r="D862" t="str">
        <f>"PROFESSOR"</f>
        <v>PROFESSOR</v>
      </c>
      <c r="E862" t="str">
        <f>"Efetivo-Inativo I- RJUSM"</f>
        <v>Efetivo-Inativo I- RJUSM</v>
      </c>
      <c r="F862" t="str">
        <f>"R$ 2.854,90"</f>
        <v>R$ 2.854,90</v>
      </c>
      <c r="G862" t="str">
        <f>"R$ 3.711,37"</f>
        <v>R$ 3.711,37</v>
      </c>
      <c r="H862" t="str">
        <f t="shared" ref="H862:H893" si="73">"R$ 0,00"</f>
        <v>R$ 0,00</v>
      </c>
      <c r="I862" t="str">
        <f>"R$ 3.711,37"</f>
        <v>R$ 3.711,37</v>
      </c>
      <c r="J862" t="str">
        <f>"R$ 1.855,68"</f>
        <v>R$ 1.855,68</v>
      </c>
      <c r="K862" t="str">
        <f>"R$ 1.855,69"</f>
        <v>R$ 1.855,69</v>
      </c>
    </row>
    <row r="863" spans="1:11" x14ac:dyDescent="0.25">
      <c r="A863" t="str">
        <f>"00004987 / 1"</f>
        <v>00004987 / 1</v>
      </c>
      <c r="B863" t="str">
        <f>"Folha Mensal"</f>
        <v>Folha Mensal</v>
      </c>
      <c r="C863" t="str">
        <f>"Luciete de Moraes Rodrigues"</f>
        <v>Luciete de Moraes Rodrigues</v>
      </c>
      <c r="D863" t="str">
        <f>"PROFESSOR"</f>
        <v>PROFESSOR</v>
      </c>
      <c r="E863" t="str">
        <f>"Efetivo-Inativo I- RJUSM"</f>
        <v>Efetivo-Inativo I- RJUSM</v>
      </c>
      <c r="F863" t="str">
        <f>"R$ 2.854,90"</f>
        <v>R$ 2.854,90</v>
      </c>
      <c r="G863" t="str">
        <f>"R$ 3.711,37"</f>
        <v>R$ 3.711,37</v>
      </c>
      <c r="H863" t="str">
        <f t="shared" si="73"/>
        <v>R$ 0,00</v>
      </c>
      <c r="I863" t="str">
        <f>"R$ 3.711,37"</f>
        <v>R$ 3.711,37</v>
      </c>
      <c r="J863" t="str">
        <f>"R$ 1.019,52"</f>
        <v>R$ 1.019,52</v>
      </c>
      <c r="K863" t="str">
        <f>"R$ 2.691,85"</f>
        <v>R$ 2.691,85</v>
      </c>
    </row>
    <row r="864" spans="1:11" x14ac:dyDescent="0.25">
      <c r="A864" t="str">
        <f>"00023558 / 1"</f>
        <v>00023558 / 1</v>
      </c>
      <c r="B864" t="str">
        <f>"13° Salário Anual"</f>
        <v>13° Salário Anual</v>
      </c>
      <c r="C864" t="str">
        <f>"Lucilea dos Santos Pinto"</f>
        <v>Lucilea dos Santos Pinto</v>
      </c>
      <c r="D864" t="str">
        <f>"PROFESSOR"</f>
        <v>PROFESSOR</v>
      </c>
      <c r="E864" t="str">
        <f>"Efetivo-Inativo I- RJUSM"</f>
        <v>Efetivo-Inativo I- RJUSM</v>
      </c>
      <c r="F864" t="str">
        <f>"R$ 1.593,46"</f>
        <v>R$ 1.593,46</v>
      </c>
      <c r="G864" t="str">
        <f>"R$ 1.991,82"</f>
        <v>R$ 1.991,82</v>
      </c>
      <c r="H864" t="str">
        <f t="shared" si="73"/>
        <v>R$ 0,00</v>
      </c>
      <c r="I864" t="str">
        <f>"R$ 1.991,82"</f>
        <v>R$ 1.991,82</v>
      </c>
      <c r="J864" t="str">
        <f>"R$ 1.002,49"</f>
        <v>R$ 1.002,49</v>
      </c>
      <c r="K864" t="str">
        <f>"R$ 989,33"</f>
        <v>R$ 989,33</v>
      </c>
    </row>
    <row r="865" spans="1:11" x14ac:dyDescent="0.25">
      <c r="A865" t="str">
        <f>"00023558 / 1"</f>
        <v>00023558 / 1</v>
      </c>
      <c r="B865" t="str">
        <f>"Folha Mensal"</f>
        <v>Folha Mensal</v>
      </c>
      <c r="C865" t="str">
        <f>"Lucilea dos Santos Pinto"</f>
        <v>Lucilea dos Santos Pinto</v>
      </c>
      <c r="D865" t="str">
        <f>"PROFESSOR"</f>
        <v>PROFESSOR</v>
      </c>
      <c r="E865" t="str">
        <f>"Efetivo-Inativo I- RJUSM"</f>
        <v>Efetivo-Inativo I- RJUSM</v>
      </c>
      <c r="F865" t="str">
        <f>"R$ 1.593,46"</f>
        <v>R$ 1.593,46</v>
      </c>
      <c r="G865" t="str">
        <f>"R$ 1.991,82"</f>
        <v>R$ 1.991,82</v>
      </c>
      <c r="H865" t="str">
        <f t="shared" si="73"/>
        <v>R$ 0,00</v>
      </c>
      <c r="I865" t="str">
        <f>"R$ 1.991,82"</f>
        <v>R$ 1.991,82</v>
      </c>
      <c r="J865" t="str">
        <f>"R$ 6,58"</f>
        <v>R$ 6,58</v>
      </c>
      <c r="K865" t="str">
        <f>"R$ 1.985,24"</f>
        <v>R$ 1.985,24</v>
      </c>
    </row>
    <row r="866" spans="1:11" x14ac:dyDescent="0.25">
      <c r="A866" t="str">
        <f>"00051594 / 1"</f>
        <v>00051594 / 1</v>
      </c>
      <c r="B866" t="str">
        <f>"13° Salário Anual"</f>
        <v>13° Salário Anual</v>
      </c>
      <c r="C866" t="str">
        <f>"Lucilene Barbosa Afonso"</f>
        <v>Lucilene Barbosa Afonso</v>
      </c>
      <c r="D866" t="str">
        <f>"PROFESSOR NIVEL III"</f>
        <v>PROFESSOR NIVEL III</v>
      </c>
      <c r="E866" t="str">
        <f>"Efetivo-Inativos II-RJUSM"</f>
        <v>Efetivo-Inativos II-RJUSM</v>
      </c>
      <c r="F866" t="str">
        <f>"R$ 5.577,14"</f>
        <v>R$ 5.577,14</v>
      </c>
      <c r="G866" t="str">
        <f>"R$ 6.692,56"</f>
        <v>R$ 6.692,56</v>
      </c>
      <c r="H866" t="str">
        <f t="shared" si="73"/>
        <v>R$ 0,00</v>
      </c>
      <c r="I866" t="str">
        <f>"R$ 6.692,56"</f>
        <v>R$ 6.692,56</v>
      </c>
      <c r="J866" t="str">
        <f>"R$ 4.377,41"</f>
        <v>R$ 4.377,41</v>
      </c>
      <c r="K866" t="str">
        <f>"R$ 2.315,15"</f>
        <v>R$ 2.315,15</v>
      </c>
    </row>
    <row r="867" spans="1:11" x14ac:dyDescent="0.25">
      <c r="A867" t="str">
        <f>"00051594 / 1"</f>
        <v>00051594 / 1</v>
      </c>
      <c r="B867" t="str">
        <f>"Folha Mensal"</f>
        <v>Folha Mensal</v>
      </c>
      <c r="C867" t="str">
        <f>"Lucilene Barbosa Afonso"</f>
        <v>Lucilene Barbosa Afonso</v>
      </c>
      <c r="D867" t="str">
        <f>"PROFESSOR NIVEL III"</f>
        <v>PROFESSOR NIVEL III</v>
      </c>
      <c r="E867" t="str">
        <f>"Efetivo-Inativos II-RJUSM"</f>
        <v>Efetivo-Inativos II-RJUSM</v>
      </c>
      <c r="F867" t="str">
        <f>"R$ 5.577,14"</f>
        <v>R$ 5.577,14</v>
      </c>
      <c r="G867" t="str">
        <f>"R$ 6.692,56"</f>
        <v>R$ 6.692,56</v>
      </c>
      <c r="H867" t="str">
        <f t="shared" si="73"/>
        <v>R$ 0,00</v>
      </c>
      <c r="I867" t="str">
        <f>"R$ 6.692,56"</f>
        <v>R$ 6.692,56</v>
      </c>
      <c r="J867" t="str">
        <f>"R$ 2.672,63"</f>
        <v>R$ 2.672,63</v>
      </c>
      <c r="K867" t="str">
        <f>"R$ 4.019,93"</f>
        <v>R$ 4.019,93</v>
      </c>
    </row>
    <row r="868" spans="1:11" x14ac:dyDescent="0.25">
      <c r="A868" t="str">
        <f>"00057932 / 2"</f>
        <v>00057932 / 2</v>
      </c>
      <c r="B868" t="str">
        <f>"13° Salário Anual"</f>
        <v>13° Salário Anual</v>
      </c>
      <c r="C868" t="str">
        <f>"Lucilene Cruz da Silva"</f>
        <v>Lucilene Cruz da Silva</v>
      </c>
      <c r="D868" t="str">
        <f>"PROFESSOR NIVEL III"</f>
        <v>PROFESSOR NIVEL III</v>
      </c>
      <c r="E868" t="str">
        <f>"Efetivo-Inativos II-RJUSM"</f>
        <v>Efetivo-Inativos II-RJUSM</v>
      </c>
      <c r="F868" t="str">
        <f>"R$ 5.417,81"</f>
        <v>R$ 5.417,81</v>
      </c>
      <c r="G868" t="str">
        <f>"R$ 6.501,37"</f>
        <v>R$ 6.501,37</v>
      </c>
      <c r="H868" t="str">
        <f t="shared" si="73"/>
        <v>R$ 0,00</v>
      </c>
      <c r="I868" t="str">
        <f>"R$ 6.501,37"</f>
        <v>R$ 6.501,37</v>
      </c>
      <c r="J868" t="str">
        <f>"R$ 4.157,68"</f>
        <v>R$ 4.157,68</v>
      </c>
      <c r="K868" t="str">
        <f>"R$ 2.343,69"</f>
        <v>R$ 2.343,69</v>
      </c>
    </row>
    <row r="869" spans="1:11" x14ac:dyDescent="0.25">
      <c r="A869" t="str">
        <f>"00057932 / 2"</f>
        <v>00057932 / 2</v>
      </c>
      <c r="B869" t="str">
        <f>"Folha Mensal"</f>
        <v>Folha Mensal</v>
      </c>
      <c r="C869" t="str">
        <f>"Lucilene Cruz da Silva"</f>
        <v>Lucilene Cruz da Silva</v>
      </c>
      <c r="D869" t="str">
        <f>"PROFESSOR NIVEL III"</f>
        <v>PROFESSOR NIVEL III</v>
      </c>
      <c r="E869" t="str">
        <f>"Efetivo-Inativos II-RJUSM"</f>
        <v>Efetivo-Inativos II-RJUSM</v>
      </c>
      <c r="F869" t="str">
        <f>"R$ 5.417,81"</f>
        <v>R$ 5.417,81</v>
      </c>
      <c r="G869" t="str">
        <f>"R$ 6.501,37"</f>
        <v>R$ 6.501,37</v>
      </c>
      <c r="H869" t="str">
        <f t="shared" si="73"/>
        <v>R$ 0,00</v>
      </c>
      <c r="I869" t="str">
        <f>"R$ 6.501,37"</f>
        <v>R$ 6.501,37</v>
      </c>
      <c r="J869" t="str">
        <f>"R$ 907,00"</f>
        <v>R$ 907,00</v>
      </c>
      <c r="K869" t="str">
        <f>"R$ 5.594,37"</f>
        <v>R$ 5.594,37</v>
      </c>
    </row>
    <row r="870" spans="1:11" x14ac:dyDescent="0.25">
      <c r="A870" t="str">
        <f>"00064912 / 1"</f>
        <v>00064912 / 1</v>
      </c>
      <c r="B870" t="str">
        <f>"13° Salário Anual"</f>
        <v>13° Salário Anual</v>
      </c>
      <c r="C870" t="str">
        <f>"Lucilia Nadia Lima Pinheiro"</f>
        <v>Lucilia Nadia Lima Pinheiro</v>
      </c>
      <c r="D870" t="str">
        <f>"INT INVALIDEZ"</f>
        <v>INT INVALIDEZ</v>
      </c>
      <c r="E870" t="str">
        <f t="shared" ref="E870:E881" si="74">"Efetivo-Inativo I- RJUSM"</f>
        <v>Efetivo-Inativo I- RJUSM</v>
      </c>
      <c r="F870" t="str">
        <f>"R$ 1.520,23"</f>
        <v>R$ 1.520,23</v>
      </c>
      <c r="G870" t="str">
        <f>"R$ 1.596,24"</f>
        <v>R$ 1.596,24</v>
      </c>
      <c r="H870" t="str">
        <f t="shared" si="73"/>
        <v>R$ 0,00</v>
      </c>
      <c r="I870" t="str">
        <f>"R$ 1.596,24"</f>
        <v>R$ 1.596,24</v>
      </c>
      <c r="J870" t="str">
        <f>"R$ 798,12"</f>
        <v>R$ 798,12</v>
      </c>
      <c r="K870" t="str">
        <f>"R$ 798,12"</f>
        <v>R$ 798,12</v>
      </c>
    </row>
    <row r="871" spans="1:11" x14ac:dyDescent="0.25">
      <c r="A871" t="str">
        <f>"00064912 / 1"</f>
        <v>00064912 / 1</v>
      </c>
      <c r="B871" t="str">
        <f>"Folha Mensal"</f>
        <v>Folha Mensal</v>
      </c>
      <c r="C871" t="str">
        <f>"Lucilia Nadia Lima Pinheiro"</f>
        <v>Lucilia Nadia Lima Pinheiro</v>
      </c>
      <c r="D871" t="str">
        <f>"INT INVALIDEZ"</f>
        <v>INT INVALIDEZ</v>
      </c>
      <c r="E871" t="str">
        <f t="shared" si="74"/>
        <v>Efetivo-Inativo I- RJUSM</v>
      </c>
      <c r="F871" t="str">
        <f>"R$ 1.520,23"</f>
        <v>R$ 1.520,23</v>
      </c>
      <c r="G871" t="str">
        <f>"R$ 1.596,24"</f>
        <v>R$ 1.596,24</v>
      </c>
      <c r="H871" t="str">
        <f t="shared" si="73"/>
        <v>R$ 0,00</v>
      </c>
      <c r="I871" t="str">
        <f>"R$ 1.596,24"</f>
        <v>R$ 1.596,24</v>
      </c>
      <c r="J871" t="str">
        <f>"R$ 0,00"</f>
        <v>R$ 0,00</v>
      </c>
      <c r="K871" t="str">
        <f>"R$ 1.596,24"</f>
        <v>R$ 1.596,24</v>
      </c>
    </row>
    <row r="872" spans="1:11" x14ac:dyDescent="0.25">
      <c r="A872" t="str">
        <f>"00023841 / 1"</f>
        <v>00023841 / 1</v>
      </c>
      <c r="B872" t="str">
        <f>"13° Salário Anual"</f>
        <v>13° Salário Anual</v>
      </c>
      <c r="C872" t="str">
        <f>"Luciliana da Costa Favacho"</f>
        <v>Luciliana da Costa Favacho</v>
      </c>
      <c r="D872" t="str">
        <f>"PROFESSOR"</f>
        <v>PROFESSOR</v>
      </c>
      <c r="E872" t="str">
        <f t="shared" si="74"/>
        <v>Efetivo-Inativo I- RJUSM</v>
      </c>
      <c r="F872" t="str">
        <f>"R$ 1.593,46"</f>
        <v>R$ 1.593,46</v>
      </c>
      <c r="G872" t="str">
        <f>"R$ 1.991,82"</f>
        <v>R$ 1.991,82</v>
      </c>
      <c r="H872" t="str">
        <f t="shared" si="73"/>
        <v>R$ 0,00</v>
      </c>
      <c r="I872" t="str">
        <f>"R$ 1.991,82"</f>
        <v>R$ 1.991,82</v>
      </c>
      <c r="J872" t="str">
        <f>"R$ 995,91"</f>
        <v>R$ 995,91</v>
      </c>
      <c r="K872" t="str">
        <f>"R$ 995,91"</f>
        <v>R$ 995,91</v>
      </c>
    </row>
    <row r="873" spans="1:11" x14ac:dyDescent="0.25">
      <c r="A873" t="str">
        <f>"00023841 / 1"</f>
        <v>00023841 / 1</v>
      </c>
      <c r="B873" t="str">
        <f>"Folha Mensal"</f>
        <v>Folha Mensal</v>
      </c>
      <c r="C873" t="str">
        <f>"Luciliana da Costa Favacho"</f>
        <v>Luciliana da Costa Favacho</v>
      </c>
      <c r="D873" t="str">
        <f>"PROFESSOR"</f>
        <v>PROFESSOR</v>
      </c>
      <c r="E873" t="str">
        <f t="shared" si="74"/>
        <v>Efetivo-Inativo I- RJUSM</v>
      </c>
      <c r="F873" t="str">
        <f>"R$ 1.593,46"</f>
        <v>R$ 1.593,46</v>
      </c>
      <c r="G873" t="str">
        <f>"R$ 1.991,82"</f>
        <v>R$ 1.991,82</v>
      </c>
      <c r="H873" t="str">
        <f t="shared" si="73"/>
        <v>R$ 0,00</v>
      </c>
      <c r="I873" t="str">
        <f>"R$ 1.991,82"</f>
        <v>R$ 1.991,82</v>
      </c>
      <c r="J873" t="str">
        <f>"R$ 0,00"</f>
        <v>R$ 0,00</v>
      </c>
      <c r="K873" t="str">
        <f>"R$ 1.991,82"</f>
        <v>R$ 1.991,82</v>
      </c>
    </row>
    <row r="874" spans="1:11" x14ac:dyDescent="0.25">
      <c r="A874" t="str">
        <f>"00002020 / 1"</f>
        <v>00002020 / 1</v>
      </c>
      <c r="B874" t="str">
        <f>"13° Salário Anual"</f>
        <v>13° Salário Anual</v>
      </c>
      <c r="C874" t="str">
        <f>"Lucimar Campos do Nascimento"</f>
        <v>Lucimar Campos do Nascimento</v>
      </c>
      <c r="D874" t="str">
        <f>"INT INVALIDEZ"</f>
        <v>INT INVALIDEZ</v>
      </c>
      <c r="E874" t="str">
        <f t="shared" si="74"/>
        <v>Efetivo-Inativo I- RJUSM</v>
      </c>
      <c r="F874" t="str">
        <f>"R$ 1.100,00"</f>
        <v>R$ 1.100,00</v>
      </c>
      <c r="G874" t="str">
        <f>"R$ 1.210,00"</f>
        <v>R$ 1.210,00</v>
      </c>
      <c r="H874" t="str">
        <f t="shared" si="73"/>
        <v>R$ 0,00</v>
      </c>
      <c r="I874" t="str">
        <f>"R$ 1.210,00"</f>
        <v>R$ 1.210,00</v>
      </c>
      <c r="J874" t="str">
        <f>"R$ 605,00"</f>
        <v>R$ 605,00</v>
      </c>
      <c r="K874" t="str">
        <f>"R$ 605,00"</f>
        <v>R$ 605,00</v>
      </c>
    </row>
    <row r="875" spans="1:11" x14ac:dyDescent="0.25">
      <c r="A875" t="str">
        <f>"00002020 / 1"</f>
        <v>00002020 / 1</v>
      </c>
      <c r="B875" t="str">
        <f>"Folha Mensal"</f>
        <v>Folha Mensal</v>
      </c>
      <c r="C875" t="str">
        <f>"Lucimar Campos do Nascimento"</f>
        <v>Lucimar Campos do Nascimento</v>
      </c>
      <c r="D875" t="str">
        <f>"INT INVALIDEZ"</f>
        <v>INT INVALIDEZ</v>
      </c>
      <c r="E875" t="str">
        <f t="shared" si="74"/>
        <v>Efetivo-Inativo I- RJUSM</v>
      </c>
      <c r="F875" t="str">
        <f>"R$ 1.100,00"</f>
        <v>R$ 1.100,00</v>
      </c>
      <c r="G875" t="str">
        <f>"R$ 1.210,00"</f>
        <v>R$ 1.210,00</v>
      </c>
      <c r="H875" t="str">
        <f t="shared" si="73"/>
        <v>R$ 0,00</v>
      </c>
      <c r="I875" t="str">
        <f>"R$ 1.210,00"</f>
        <v>R$ 1.210,00</v>
      </c>
      <c r="J875" t="str">
        <f>"R$ 0,00"</f>
        <v>R$ 0,00</v>
      </c>
      <c r="K875" t="str">
        <f>"R$ 1.210,00"</f>
        <v>R$ 1.210,00</v>
      </c>
    </row>
    <row r="876" spans="1:11" x14ac:dyDescent="0.25">
      <c r="A876" t="str">
        <f>"00001236 / 1"</f>
        <v>00001236 / 1</v>
      </c>
      <c r="B876" t="str">
        <f>"13° Salário Anual"</f>
        <v>13° Salário Anual</v>
      </c>
      <c r="C876" t="str">
        <f>"Lucimar Paiva de Oliveira"</f>
        <v>Lucimar Paiva de Oliveira</v>
      </c>
      <c r="D876" t="str">
        <f>"INT TEMP CONTRIBUICAO"</f>
        <v>INT TEMP CONTRIBUICAO</v>
      </c>
      <c r="E876" t="str">
        <f t="shared" si="74"/>
        <v>Efetivo-Inativo I- RJUSM</v>
      </c>
      <c r="F876" t="str">
        <f>"R$ 892,75"</f>
        <v>R$ 892,75</v>
      </c>
      <c r="G876" t="str">
        <f>"R$ 1.160,57"</f>
        <v>R$ 1.160,57</v>
      </c>
      <c r="H876" t="str">
        <f t="shared" si="73"/>
        <v>R$ 0,00</v>
      </c>
      <c r="I876" t="str">
        <f>"R$ 1.160,57"</f>
        <v>R$ 1.160,57</v>
      </c>
      <c r="J876" t="str">
        <f>"R$ 580,28"</f>
        <v>R$ 580,28</v>
      </c>
      <c r="K876" t="str">
        <f>"R$ 580,29"</f>
        <v>R$ 580,29</v>
      </c>
    </row>
    <row r="877" spans="1:11" x14ac:dyDescent="0.25">
      <c r="A877" t="str">
        <f>"00001236 / 1"</f>
        <v>00001236 / 1</v>
      </c>
      <c r="B877" t="str">
        <f>"Folha Mensal"</f>
        <v>Folha Mensal</v>
      </c>
      <c r="C877" t="str">
        <f>"Lucimar Paiva de Oliveira"</f>
        <v>Lucimar Paiva de Oliveira</v>
      </c>
      <c r="D877" t="str">
        <f>"INT TEMP CONTRIBUICAO"</f>
        <v>INT TEMP CONTRIBUICAO</v>
      </c>
      <c r="E877" t="str">
        <f t="shared" si="74"/>
        <v>Efetivo-Inativo I- RJUSM</v>
      </c>
      <c r="F877" t="str">
        <f>"R$ 892,75"</f>
        <v>R$ 892,75</v>
      </c>
      <c r="G877" t="str">
        <f>"R$ 1.160,57"</f>
        <v>R$ 1.160,57</v>
      </c>
      <c r="H877" t="str">
        <f t="shared" si="73"/>
        <v>R$ 0,00</v>
      </c>
      <c r="I877" t="str">
        <f>"R$ 1.160,57"</f>
        <v>R$ 1.160,57</v>
      </c>
      <c r="J877" t="str">
        <f>"R$ 0,00"</f>
        <v>R$ 0,00</v>
      </c>
      <c r="K877" t="str">
        <f>"R$ 1.160,57"</f>
        <v>R$ 1.160,57</v>
      </c>
    </row>
    <row r="878" spans="1:11" x14ac:dyDescent="0.25">
      <c r="A878" t="str">
        <f>"00014010 / 1"</f>
        <v>00014010 / 1</v>
      </c>
      <c r="B878" t="str">
        <f>"13° Salário Anual"</f>
        <v>13° Salário Anual</v>
      </c>
      <c r="C878" t="str">
        <f>"Lucinda Leal Formento"</f>
        <v>Lucinda Leal Formento</v>
      </c>
      <c r="D878" t="str">
        <f>"PROFESSOR"</f>
        <v>PROFESSOR</v>
      </c>
      <c r="E878" t="str">
        <f t="shared" si="74"/>
        <v>Efetivo-Inativo I- RJUSM</v>
      </c>
      <c r="F878" t="str">
        <f>"R$ 1.593,46"</f>
        <v>R$ 1.593,46</v>
      </c>
      <c r="G878" t="str">
        <f>"R$ 1.991,82"</f>
        <v>R$ 1.991,82</v>
      </c>
      <c r="H878" t="str">
        <f t="shared" si="73"/>
        <v>R$ 0,00</v>
      </c>
      <c r="I878" t="str">
        <f>"R$ 1.991,82"</f>
        <v>R$ 1.991,82</v>
      </c>
      <c r="J878" t="str">
        <f>"R$ 995,91"</f>
        <v>R$ 995,91</v>
      </c>
      <c r="K878" t="str">
        <f>"R$ 995,91"</f>
        <v>R$ 995,91</v>
      </c>
    </row>
    <row r="879" spans="1:11" x14ac:dyDescent="0.25">
      <c r="A879" t="str">
        <f>"00014010 / 1"</f>
        <v>00014010 / 1</v>
      </c>
      <c r="B879" t="str">
        <f>"Folha Mensal"</f>
        <v>Folha Mensal</v>
      </c>
      <c r="C879" t="str">
        <f>"Lucinda Leal Formento"</f>
        <v>Lucinda Leal Formento</v>
      </c>
      <c r="D879" t="str">
        <f>"PROFESSOR"</f>
        <v>PROFESSOR</v>
      </c>
      <c r="E879" t="str">
        <f t="shared" si="74"/>
        <v>Efetivo-Inativo I- RJUSM</v>
      </c>
      <c r="F879" t="str">
        <f>"R$ 1.593,46"</f>
        <v>R$ 1.593,46</v>
      </c>
      <c r="G879" t="str">
        <f>"R$ 1.991,82"</f>
        <v>R$ 1.991,82</v>
      </c>
      <c r="H879" t="str">
        <f t="shared" si="73"/>
        <v>R$ 0,00</v>
      </c>
      <c r="I879" t="str">
        <f>"R$ 1.991,82"</f>
        <v>R$ 1.991,82</v>
      </c>
      <c r="J879" t="str">
        <f>"R$ 694,89"</f>
        <v>R$ 694,89</v>
      </c>
      <c r="K879" t="str">
        <f>"R$ 1.296,93"</f>
        <v>R$ 1.296,93</v>
      </c>
    </row>
    <row r="880" spans="1:11" x14ac:dyDescent="0.25">
      <c r="A880" t="str">
        <f>"00031402 / 1"</f>
        <v>00031402 / 1</v>
      </c>
      <c r="B880" t="str">
        <f>"13° Salário Anual"</f>
        <v>13° Salário Anual</v>
      </c>
      <c r="C880" t="str">
        <f>"Luiz Ferreira de Freitas"</f>
        <v>Luiz Ferreira de Freitas</v>
      </c>
      <c r="D880" t="str">
        <f>"PROP IDADE"</f>
        <v>PROP IDADE</v>
      </c>
      <c r="E880" t="str">
        <f t="shared" si="74"/>
        <v>Efetivo-Inativo I- RJUSM</v>
      </c>
      <c r="F880" t="str">
        <f>"R$ 1.100,00"</f>
        <v>R$ 1.100,00</v>
      </c>
      <c r="G880" t="str">
        <f>"R$ 1.100,00"</f>
        <v>R$ 1.100,00</v>
      </c>
      <c r="H880" t="str">
        <f t="shared" si="73"/>
        <v>R$ 0,00</v>
      </c>
      <c r="I880" t="str">
        <f>"R$ 1.100,00"</f>
        <v>R$ 1.100,00</v>
      </c>
      <c r="J880" t="str">
        <f>"R$ 550,00"</f>
        <v>R$ 550,00</v>
      </c>
      <c r="K880" t="str">
        <f>"R$ 550,00"</f>
        <v>R$ 550,00</v>
      </c>
    </row>
    <row r="881" spans="1:11" x14ac:dyDescent="0.25">
      <c r="A881" t="str">
        <f>"00031402 / 1"</f>
        <v>00031402 / 1</v>
      </c>
      <c r="B881" t="str">
        <f>"Folha Mensal"</f>
        <v>Folha Mensal</v>
      </c>
      <c r="C881" t="str">
        <f>"Luiz Ferreira de Freitas"</f>
        <v>Luiz Ferreira de Freitas</v>
      </c>
      <c r="D881" t="str">
        <f>"PROP IDADE"</f>
        <v>PROP IDADE</v>
      </c>
      <c r="E881" t="str">
        <f t="shared" si="74"/>
        <v>Efetivo-Inativo I- RJUSM</v>
      </c>
      <c r="F881" t="str">
        <f>"R$ 1.100,00"</f>
        <v>R$ 1.100,00</v>
      </c>
      <c r="G881" t="str">
        <f>"R$ 1.100,00"</f>
        <v>R$ 1.100,00</v>
      </c>
      <c r="H881" t="str">
        <f t="shared" si="73"/>
        <v>R$ 0,00</v>
      </c>
      <c r="I881" t="str">
        <f>"R$ 1.100,00"</f>
        <v>R$ 1.100,00</v>
      </c>
      <c r="J881" t="str">
        <f>"R$ 0,00"</f>
        <v>R$ 0,00</v>
      </c>
      <c r="K881" t="str">
        <f>"R$ 1.100,00"</f>
        <v>R$ 1.100,00</v>
      </c>
    </row>
    <row r="882" spans="1:11" x14ac:dyDescent="0.25">
      <c r="A882" t="str">
        <f>"03641201 / 1"</f>
        <v>03641201 / 1</v>
      </c>
      <c r="B882" t="str">
        <f>"13° Salário Anual"</f>
        <v>13° Salário Anual</v>
      </c>
      <c r="C882" t="str">
        <f>"Luiz Filipe Batista Lima"</f>
        <v>Luiz Filipe Batista Lima</v>
      </c>
      <c r="D882" t="str">
        <f>"DAS 06"</f>
        <v>DAS 06</v>
      </c>
      <c r="E882" t="str">
        <f>"Comissionado"</f>
        <v>Comissionado</v>
      </c>
      <c r="F882" t="str">
        <f>"R$ 2.427,00"</f>
        <v>R$ 2.427,00</v>
      </c>
      <c r="G882" t="str">
        <f>"R$ 1.820,25"</f>
        <v>R$ 1.820,25</v>
      </c>
      <c r="H882" t="str">
        <f t="shared" si="73"/>
        <v>R$ 0,00</v>
      </c>
      <c r="I882" t="str">
        <f>"R$ 1.820,25"</f>
        <v>R$ 1.820,25</v>
      </c>
      <c r="J882" t="str">
        <f>"R$ 1.057,44"</f>
        <v>R$ 1.057,44</v>
      </c>
      <c r="K882" t="str">
        <f>"R$ 762,81"</f>
        <v>R$ 762,81</v>
      </c>
    </row>
    <row r="883" spans="1:11" x14ac:dyDescent="0.25">
      <c r="A883" t="str">
        <f>"03641201 / 1"</f>
        <v>03641201 / 1</v>
      </c>
      <c r="B883" t="str">
        <f>"Folha Mensal"</f>
        <v>Folha Mensal</v>
      </c>
      <c r="C883" t="str">
        <f>"Luiz Filipe Batista Lima"</f>
        <v>Luiz Filipe Batista Lima</v>
      </c>
      <c r="D883" t="str">
        <f>"DAS 06"</f>
        <v>DAS 06</v>
      </c>
      <c r="E883" t="str">
        <f>"Comissionado"</f>
        <v>Comissionado</v>
      </c>
      <c r="F883" t="str">
        <f>"R$ 2.427,00"</f>
        <v>R$ 2.427,00</v>
      </c>
      <c r="G883" t="str">
        <f>"R$ 2.427,00"</f>
        <v>R$ 2.427,00</v>
      </c>
      <c r="H883" t="str">
        <f t="shared" si="73"/>
        <v>R$ 0,00</v>
      </c>
      <c r="I883" t="str">
        <f>"R$ 2.427,00"</f>
        <v>R$ 2.427,00</v>
      </c>
      <c r="J883" t="str">
        <f>"R$ 232,20"</f>
        <v>R$ 232,20</v>
      </c>
      <c r="K883" t="str">
        <f>"R$ 2.194,80"</f>
        <v>R$ 2.194,80</v>
      </c>
    </row>
    <row r="884" spans="1:11" x14ac:dyDescent="0.25">
      <c r="A884" t="str">
        <f>"03643166 / 1"</f>
        <v>03643166 / 1</v>
      </c>
      <c r="B884" t="str">
        <f>"13° Salário Anual"</f>
        <v>13° Salário Anual</v>
      </c>
      <c r="C884" t="str">
        <f>"Luiz Moacir da Costa Mota"</f>
        <v>Luiz Moacir da Costa Mota</v>
      </c>
      <c r="D884" t="str">
        <f>"PENSIONISTA"</f>
        <v>PENSIONISTA</v>
      </c>
      <c r="E884" t="str">
        <f>"Pensionista"</f>
        <v>Pensionista</v>
      </c>
      <c r="F884" t="str">
        <f>"R$ 1.100,00"</f>
        <v>R$ 1.100,00</v>
      </c>
      <c r="G884" t="str">
        <f>"R$ 1.100,00"</f>
        <v>R$ 1.100,00</v>
      </c>
      <c r="H884" t="str">
        <f t="shared" si="73"/>
        <v>R$ 0,00</v>
      </c>
      <c r="I884" t="str">
        <f>"R$ 1.100,00"</f>
        <v>R$ 1.100,00</v>
      </c>
      <c r="J884" t="str">
        <f>"R$ 550,00"</f>
        <v>R$ 550,00</v>
      </c>
      <c r="K884" t="str">
        <f>"R$ 550,00"</f>
        <v>R$ 550,00</v>
      </c>
    </row>
    <row r="885" spans="1:11" x14ac:dyDescent="0.25">
      <c r="A885" t="str">
        <f>"03643166 / 1"</f>
        <v>03643166 / 1</v>
      </c>
      <c r="B885" t="str">
        <f>"Folha Mensal"</f>
        <v>Folha Mensal</v>
      </c>
      <c r="C885" t="str">
        <f>"Luiz Moacir da Costa Mota"</f>
        <v>Luiz Moacir da Costa Mota</v>
      </c>
      <c r="D885" t="str">
        <f>"PENSIONISTA"</f>
        <v>PENSIONISTA</v>
      </c>
      <c r="E885" t="str">
        <f>"Pensionista"</f>
        <v>Pensionista</v>
      </c>
      <c r="F885" t="str">
        <f>"R$ 1.100,00"</f>
        <v>R$ 1.100,00</v>
      </c>
      <c r="G885" t="str">
        <f>"R$ 1.100,00"</f>
        <v>R$ 1.100,00</v>
      </c>
      <c r="H885" t="str">
        <f t="shared" si="73"/>
        <v>R$ 0,00</v>
      </c>
      <c r="I885" t="str">
        <f>"R$ 1.100,00"</f>
        <v>R$ 1.100,00</v>
      </c>
      <c r="J885" t="str">
        <f>"R$ 263,90"</f>
        <v>R$ 263,90</v>
      </c>
      <c r="K885" t="str">
        <f>"R$ 836,10"</f>
        <v>R$ 836,10</v>
      </c>
    </row>
    <row r="886" spans="1:11" x14ac:dyDescent="0.25">
      <c r="A886" t="str">
        <f>"03640434 / 1"</f>
        <v>03640434 / 1</v>
      </c>
      <c r="B886" t="str">
        <f>"13° Salário Anual"</f>
        <v>13° Salário Anual</v>
      </c>
      <c r="C886" t="str">
        <f>"Luiz Samuel de Azevedo Reis"</f>
        <v>Luiz Samuel de Azevedo Reis</v>
      </c>
      <c r="D886" t="str">
        <f>"PRESIDENTE IPMA"</f>
        <v>PRESIDENTE IPMA</v>
      </c>
      <c r="E886" t="str">
        <f>"Presidente de Autarquia Munici"</f>
        <v>Presidente de Autarquia Munici</v>
      </c>
      <c r="F886" t="str">
        <f>"R$ 8.500,00"</f>
        <v>R$ 8.500,00</v>
      </c>
      <c r="G886" t="str">
        <f>"R$ 8.500,00"</f>
        <v>R$ 8.500,00</v>
      </c>
      <c r="H886" t="str">
        <f t="shared" si="73"/>
        <v>R$ 0,00</v>
      </c>
      <c r="I886" t="str">
        <f>"R$ 8.500,00"</f>
        <v>R$ 8.500,00</v>
      </c>
      <c r="J886" t="str">
        <f>"R$ 6.263,31"</f>
        <v>R$ 6.263,31</v>
      </c>
      <c r="K886" t="str">
        <f>"R$ 2.236,69"</f>
        <v>R$ 2.236,69</v>
      </c>
    </row>
    <row r="887" spans="1:11" x14ac:dyDescent="0.25">
      <c r="A887" t="str">
        <f>"03640434 / 1"</f>
        <v>03640434 / 1</v>
      </c>
      <c r="B887" t="str">
        <f>"Folha Mensal"</f>
        <v>Folha Mensal</v>
      </c>
      <c r="C887" t="str">
        <f>"Luiz Samuel de Azevedo Reis"</f>
        <v>Luiz Samuel de Azevedo Reis</v>
      </c>
      <c r="D887" t="str">
        <f>"PRESIDENTE IPMA"</f>
        <v>PRESIDENTE IPMA</v>
      </c>
      <c r="E887" t="str">
        <f>"Presidente de Autarquia Munici"</f>
        <v>Presidente de Autarquia Munici</v>
      </c>
      <c r="F887" t="str">
        <f>"R$ 8.500,00"</f>
        <v>R$ 8.500,00</v>
      </c>
      <c r="G887" t="str">
        <f>"R$ 8.500,00"</f>
        <v>R$ 8.500,00</v>
      </c>
      <c r="H887" t="str">
        <f t="shared" si="73"/>
        <v>R$ 0,00</v>
      </c>
      <c r="I887" t="str">
        <f>"R$ 8.500,00"</f>
        <v>R$ 8.500,00</v>
      </c>
      <c r="J887" t="str">
        <f>"R$ 2.013,31"</f>
        <v>R$ 2.013,31</v>
      </c>
      <c r="K887" t="str">
        <f>"R$ 6.486,69"</f>
        <v>R$ 6.486,69</v>
      </c>
    </row>
    <row r="888" spans="1:11" x14ac:dyDescent="0.25">
      <c r="A888" t="str">
        <f>"00001392 / 1"</f>
        <v>00001392 / 1</v>
      </c>
      <c r="B888" t="str">
        <f>"13° Salário Anual"</f>
        <v>13° Salário Anual</v>
      </c>
      <c r="C888" t="str">
        <f>"Luiza Coelho Pantoja"</f>
        <v>Luiza Coelho Pantoja</v>
      </c>
      <c r="D888" t="str">
        <f>"INT TEMP CONTRIBUICAO"</f>
        <v>INT TEMP CONTRIBUICAO</v>
      </c>
      <c r="E888" t="str">
        <f t="shared" ref="E888:E895" si="75">"Efetivo-Inativo I- RJUSM"</f>
        <v>Efetivo-Inativo I- RJUSM</v>
      </c>
      <c r="F888" t="str">
        <f>"R$ 1.100,00"</f>
        <v>R$ 1.100,00</v>
      </c>
      <c r="G888" t="str">
        <f>"R$ 1.375,00"</f>
        <v>R$ 1.375,00</v>
      </c>
      <c r="H888" t="str">
        <f t="shared" si="73"/>
        <v>R$ 0,00</v>
      </c>
      <c r="I888" t="str">
        <f>"R$ 1.375,00"</f>
        <v>R$ 1.375,00</v>
      </c>
      <c r="J888" t="str">
        <f>"R$ 687,50"</f>
        <v>R$ 687,50</v>
      </c>
      <c r="K888" t="str">
        <f>"R$ 687,50"</f>
        <v>R$ 687,50</v>
      </c>
    </row>
    <row r="889" spans="1:11" x14ac:dyDescent="0.25">
      <c r="A889" t="str">
        <f>"00001392 / 1"</f>
        <v>00001392 / 1</v>
      </c>
      <c r="B889" t="str">
        <f>"Folha Mensal"</f>
        <v>Folha Mensal</v>
      </c>
      <c r="C889" t="str">
        <f>"Luiza Coelho Pantoja"</f>
        <v>Luiza Coelho Pantoja</v>
      </c>
      <c r="D889" t="str">
        <f>"INT TEMP CONTRIBUICAO"</f>
        <v>INT TEMP CONTRIBUICAO</v>
      </c>
      <c r="E889" t="str">
        <f t="shared" si="75"/>
        <v>Efetivo-Inativo I- RJUSM</v>
      </c>
      <c r="F889" t="str">
        <f>"R$ 1.100,00"</f>
        <v>R$ 1.100,00</v>
      </c>
      <c r="G889" t="str">
        <f>"R$ 1.375,00"</f>
        <v>R$ 1.375,00</v>
      </c>
      <c r="H889" t="str">
        <f t="shared" si="73"/>
        <v>R$ 0,00</v>
      </c>
      <c r="I889" t="str">
        <f>"R$ 1.375,00"</f>
        <v>R$ 1.375,00</v>
      </c>
      <c r="J889" t="str">
        <f>"R$ 382,11"</f>
        <v>R$ 382,11</v>
      </c>
      <c r="K889" t="str">
        <f>"R$ 992,89"</f>
        <v>R$ 992,89</v>
      </c>
    </row>
    <row r="890" spans="1:11" x14ac:dyDescent="0.25">
      <c r="A890" t="str">
        <f>"00004545 / 1"</f>
        <v>00004545 / 1</v>
      </c>
      <c r="B890" t="str">
        <f>"13° Salário Anual"</f>
        <v>13° Salário Anual</v>
      </c>
      <c r="C890" t="str">
        <f>"Luiza Fatima Falcao Moraes Barata"</f>
        <v>Luiza Fatima Falcao Moraes Barata</v>
      </c>
      <c r="D890" t="str">
        <f t="shared" ref="D890:D895" si="76">"PROFESSOR"</f>
        <v>PROFESSOR</v>
      </c>
      <c r="E890" t="str">
        <f t="shared" si="75"/>
        <v>Efetivo-Inativo I- RJUSM</v>
      </c>
      <c r="F890" t="str">
        <f>"R$ 1.673,12"</f>
        <v>R$ 1.673,12</v>
      </c>
      <c r="G890" t="str">
        <f>"R$ 2.175,05"</f>
        <v>R$ 2.175,05</v>
      </c>
      <c r="H890" t="str">
        <f t="shared" si="73"/>
        <v>R$ 0,00</v>
      </c>
      <c r="I890" t="str">
        <f>"R$ 2.175,05"</f>
        <v>R$ 2.175,05</v>
      </c>
      <c r="J890" t="str">
        <f>"R$ 1.087,52"</f>
        <v>R$ 1.087,52</v>
      </c>
      <c r="K890" t="str">
        <f>"R$ 1.087,53"</f>
        <v>R$ 1.087,53</v>
      </c>
    </row>
    <row r="891" spans="1:11" x14ac:dyDescent="0.25">
      <c r="A891" t="str">
        <f>"00004545 / 1"</f>
        <v>00004545 / 1</v>
      </c>
      <c r="B891" t="str">
        <f>"Folha Mensal"</f>
        <v>Folha Mensal</v>
      </c>
      <c r="C891" t="str">
        <f>"Luiza Fatima Falcao Moraes Barata"</f>
        <v>Luiza Fatima Falcao Moraes Barata</v>
      </c>
      <c r="D891" t="str">
        <f t="shared" si="76"/>
        <v>PROFESSOR</v>
      </c>
      <c r="E891" t="str">
        <f t="shared" si="75"/>
        <v>Efetivo-Inativo I- RJUSM</v>
      </c>
      <c r="F891" t="str">
        <f>"R$ 1.673,12"</f>
        <v>R$ 1.673,12</v>
      </c>
      <c r="G891" t="str">
        <f>"R$ 2.175,05"</f>
        <v>R$ 2.175,05</v>
      </c>
      <c r="H891" t="str">
        <f t="shared" si="73"/>
        <v>R$ 0,00</v>
      </c>
      <c r="I891" t="str">
        <f>"R$ 2.175,05"</f>
        <v>R$ 2.175,05</v>
      </c>
      <c r="J891" t="str">
        <f>"R$ 0,00"</f>
        <v>R$ 0,00</v>
      </c>
      <c r="K891" t="str">
        <f>"R$ 2.175,05"</f>
        <v>R$ 2.175,05</v>
      </c>
    </row>
    <row r="892" spans="1:11" x14ac:dyDescent="0.25">
      <c r="A892" t="str">
        <f>"00005363 / 1"</f>
        <v>00005363 / 1</v>
      </c>
      <c r="B892" t="str">
        <f>"13° Salário Anual"</f>
        <v>13° Salário Anual</v>
      </c>
      <c r="C892" t="str">
        <f>"Luiza Helena Veloso da Silva"</f>
        <v>Luiza Helena Veloso da Silva</v>
      </c>
      <c r="D892" t="str">
        <f t="shared" si="76"/>
        <v>PROFESSOR</v>
      </c>
      <c r="E892" t="str">
        <f t="shared" si="75"/>
        <v>Efetivo-Inativo I- RJUSM</v>
      </c>
      <c r="F892" t="str">
        <f>"R$ 1.593,46"</f>
        <v>R$ 1.593,46</v>
      </c>
      <c r="G892" t="str">
        <f>"R$ 1.991,82"</f>
        <v>R$ 1.991,82</v>
      </c>
      <c r="H892" t="str">
        <f t="shared" si="73"/>
        <v>R$ 0,00</v>
      </c>
      <c r="I892" t="str">
        <f>"R$ 1.991,82"</f>
        <v>R$ 1.991,82</v>
      </c>
      <c r="J892" t="str">
        <f>"R$ 995,91"</f>
        <v>R$ 995,91</v>
      </c>
      <c r="K892" t="str">
        <f>"R$ 995,91"</f>
        <v>R$ 995,91</v>
      </c>
    </row>
    <row r="893" spans="1:11" x14ac:dyDescent="0.25">
      <c r="A893" t="str">
        <f>"00005363 / 1"</f>
        <v>00005363 / 1</v>
      </c>
      <c r="B893" t="str">
        <f>"Folha Mensal"</f>
        <v>Folha Mensal</v>
      </c>
      <c r="C893" t="str">
        <f>"Luiza Helena Veloso da Silva"</f>
        <v>Luiza Helena Veloso da Silva</v>
      </c>
      <c r="D893" t="str">
        <f t="shared" si="76"/>
        <v>PROFESSOR</v>
      </c>
      <c r="E893" t="str">
        <f t="shared" si="75"/>
        <v>Efetivo-Inativo I- RJUSM</v>
      </c>
      <c r="F893" t="str">
        <f>"R$ 1.593,46"</f>
        <v>R$ 1.593,46</v>
      </c>
      <c r="G893" t="str">
        <f>"R$ 1.991,82"</f>
        <v>R$ 1.991,82</v>
      </c>
      <c r="H893" t="str">
        <f t="shared" si="73"/>
        <v>R$ 0,00</v>
      </c>
      <c r="I893" t="str">
        <f>"R$ 1.991,82"</f>
        <v>R$ 1.991,82</v>
      </c>
      <c r="J893" t="str">
        <f>"R$ 0,00"</f>
        <v>R$ 0,00</v>
      </c>
      <c r="K893" t="str">
        <f>"R$ 1.991,82"</f>
        <v>R$ 1.991,82</v>
      </c>
    </row>
    <row r="894" spans="1:11" x14ac:dyDescent="0.25">
      <c r="A894" t="str">
        <f>"00023850 / 1"</f>
        <v>00023850 / 1</v>
      </c>
      <c r="B894" t="str">
        <f>"13° Salário Anual"</f>
        <v>13° Salário Anual</v>
      </c>
      <c r="C894" t="str">
        <f>"Luiza Mota Ferreira"</f>
        <v>Luiza Mota Ferreira</v>
      </c>
      <c r="D894" t="str">
        <f t="shared" si="76"/>
        <v>PROFESSOR</v>
      </c>
      <c r="E894" t="str">
        <f t="shared" si="75"/>
        <v>Efetivo-Inativo I- RJUSM</v>
      </c>
      <c r="F894" t="str">
        <f>"R$ 1.593,46"</f>
        <v>R$ 1.593,46</v>
      </c>
      <c r="G894" t="str">
        <f>"R$ 1.991,82"</f>
        <v>R$ 1.991,82</v>
      </c>
      <c r="H894" t="str">
        <f t="shared" ref="H894:H925" si="77">"R$ 0,00"</f>
        <v>R$ 0,00</v>
      </c>
      <c r="I894" t="str">
        <f>"R$ 1.991,82"</f>
        <v>R$ 1.991,82</v>
      </c>
      <c r="J894" t="str">
        <f>"R$ 995,91"</f>
        <v>R$ 995,91</v>
      </c>
      <c r="K894" t="str">
        <f>"R$ 995,91"</f>
        <v>R$ 995,91</v>
      </c>
    </row>
    <row r="895" spans="1:11" x14ac:dyDescent="0.25">
      <c r="A895" t="str">
        <f>"00023850 / 1"</f>
        <v>00023850 / 1</v>
      </c>
      <c r="B895" t="str">
        <f>"Folha Mensal"</f>
        <v>Folha Mensal</v>
      </c>
      <c r="C895" t="str">
        <f>"Luiza Mota Ferreira"</f>
        <v>Luiza Mota Ferreira</v>
      </c>
      <c r="D895" t="str">
        <f t="shared" si="76"/>
        <v>PROFESSOR</v>
      </c>
      <c r="E895" t="str">
        <f t="shared" si="75"/>
        <v>Efetivo-Inativo I- RJUSM</v>
      </c>
      <c r="F895" t="str">
        <f>"R$ 1.593,46"</f>
        <v>R$ 1.593,46</v>
      </c>
      <c r="G895" t="str">
        <f>"R$ 1.991,82"</f>
        <v>R$ 1.991,82</v>
      </c>
      <c r="H895" t="str">
        <f t="shared" si="77"/>
        <v>R$ 0,00</v>
      </c>
      <c r="I895" t="str">
        <f>"R$ 1.991,82"</f>
        <v>R$ 1.991,82</v>
      </c>
      <c r="J895" t="str">
        <f>"R$ 688,77"</f>
        <v>R$ 688,77</v>
      </c>
      <c r="K895" t="str">
        <f>"R$ 1.303,05"</f>
        <v>R$ 1.303,05</v>
      </c>
    </row>
    <row r="896" spans="1:11" x14ac:dyDescent="0.25">
      <c r="A896" t="str">
        <f>"00066311 / 2"</f>
        <v>00066311 / 2</v>
      </c>
      <c r="B896" t="str">
        <f>"13° Salário Anual"</f>
        <v>13° Salário Anual</v>
      </c>
      <c r="C896" t="str">
        <f>"Luiza Renata Paiva de Moraes"</f>
        <v>Luiza Renata Paiva de Moraes</v>
      </c>
      <c r="D896" t="str">
        <f>"PROFESSOR NIVEL II"</f>
        <v>PROFESSOR NIVEL II</v>
      </c>
      <c r="E896" t="str">
        <f>"Efetivo-Inativos II-RJUSM"</f>
        <v>Efetivo-Inativos II-RJUSM</v>
      </c>
      <c r="F896" t="str">
        <f>"R$ 2.469,87"</f>
        <v>R$ 2.469,87</v>
      </c>
      <c r="G896" t="str">
        <f>"R$ 2.716,85"</f>
        <v>R$ 2.716,85</v>
      </c>
      <c r="H896" t="str">
        <f t="shared" si="77"/>
        <v>R$ 0,00</v>
      </c>
      <c r="I896" t="str">
        <f>"R$ 2.716,85"</f>
        <v>R$ 2.716,85</v>
      </c>
      <c r="J896" t="str">
        <f>"R$ 1.358,42"</f>
        <v>R$ 1.358,42</v>
      </c>
      <c r="K896" t="str">
        <f>"R$ 1.358,43"</f>
        <v>R$ 1.358,43</v>
      </c>
    </row>
    <row r="897" spans="1:11" x14ac:dyDescent="0.25">
      <c r="A897" t="str">
        <f>"00066311 / 2"</f>
        <v>00066311 / 2</v>
      </c>
      <c r="B897" t="str">
        <f>"Folha Mensal"</f>
        <v>Folha Mensal</v>
      </c>
      <c r="C897" t="str">
        <f>"Luiza Renata Paiva de Moraes"</f>
        <v>Luiza Renata Paiva de Moraes</v>
      </c>
      <c r="D897" t="str">
        <f>"PROFESSOR NIVEL II"</f>
        <v>PROFESSOR NIVEL II</v>
      </c>
      <c r="E897" t="str">
        <f>"Efetivo-Inativos II-RJUSM"</f>
        <v>Efetivo-Inativos II-RJUSM</v>
      </c>
      <c r="F897" t="str">
        <f>"R$ 2.469,87"</f>
        <v>R$ 2.469,87</v>
      </c>
      <c r="G897" t="str">
        <f>"R$ 2.716,85"</f>
        <v>R$ 2.716,85</v>
      </c>
      <c r="H897" t="str">
        <f t="shared" si="77"/>
        <v>R$ 0,00</v>
      </c>
      <c r="I897" t="str">
        <f>"R$ 2.716,85"</f>
        <v>R$ 2.716,85</v>
      </c>
      <c r="J897" t="str">
        <f>"R$ 948,63"</f>
        <v>R$ 948,63</v>
      </c>
      <c r="K897" t="str">
        <f>"R$ 1.768,22"</f>
        <v>R$ 1.768,22</v>
      </c>
    </row>
    <row r="898" spans="1:11" x14ac:dyDescent="0.25">
      <c r="A898" t="str">
        <f>"00003743 / 1"</f>
        <v>00003743 / 1</v>
      </c>
      <c r="B898" t="str">
        <f>"13° Salário Anual"</f>
        <v>13° Salário Anual</v>
      </c>
      <c r="C898" t="str">
        <f>"Luiza Rosa Porpino da Cunha"</f>
        <v>Luiza Rosa Porpino da Cunha</v>
      </c>
      <c r="D898" t="str">
        <f>"INT TEMP CONTRIBUICAO"</f>
        <v>INT TEMP CONTRIBUICAO</v>
      </c>
      <c r="E898" t="str">
        <f>"Efetivo-Inativos II-RJUSM"</f>
        <v>Efetivo-Inativos II-RJUSM</v>
      </c>
      <c r="F898" t="str">
        <f>"R$ 1.028,75"</f>
        <v>R$ 1.028,75</v>
      </c>
      <c r="G898" t="str">
        <f>"R$ 1.337,37"</f>
        <v>R$ 1.337,37</v>
      </c>
      <c r="H898" t="str">
        <f t="shared" si="77"/>
        <v>R$ 0,00</v>
      </c>
      <c r="I898" t="str">
        <f>"R$ 1.337,37"</f>
        <v>R$ 1.337,37</v>
      </c>
      <c r="J898" t="str">
        <f>"R$ 668,68"</f>
        <v>R$ 668,68</v>
      </c>
      <c r="K898" t="str">
        <f>"R$ 668,69"</f>
        <v>R$ 668,69</v>
      </c>
    </row>
    <row r="899" spans="1:11" x14ac:dyDescent="0.25">
      <c r="A899" t="str">
        <f>"00003743 / 1"</f>
        <v>00003743 / 1</v>
      </c>
      <c r="B899" t="str">
        <f>"Folha Mensal"</f>
        <v>Folha Mensal</v>
      </c>
      <c r="C899" t="str">
        <f>"Luiza Rosa Porpino da Cunha"</f>
        <v>Luiza Rosa Porpino da Cunha</v>
      </c>
      <c r="D899" t="str">
        <f>"INT TEMP CONTRIBUICAO"</f>
        <v>INT TEMP CONTRIBUICAO</v>
      </c>
      <c r="E899" t="str">
        <f>"Efetivo-Inativos II-RJUSM"</f>
        <v>Efetivo-Inativos II-RJUSM</v>
      </c>
      <c r="F899" t="str">
        <f>"R$ 1.028,75"</f>
        <v>R$ 1.028,75</v>
      </c>
      <c r="G899" t="str">
        <f>"R$ 1.337,37"</f>
        <v>R$ 1.337,37</v>
      </c>
      <c r="H899" t="str">
        <f t="shared" si="77"/>
        <v>R$ 0,00</v>
      </c>
      <c r="I899" t="str">
        <f>"R$ 1.337,37"</f>
        <v>R$ 1.337,37</v>
      </c>
      <c r="J899" t="str">
        <f>"R$ 0,00"</f>
        <v>R$ 0,00</v>
      </c>
      <c r="K899" t="str">
        <f>"R$ 1.337,37"</f>
        <v>R$ 1.337,37</v>
      </c>
    </row>
    <row r="900" spans="1:11" x14ac:dyDescent="0.25">
      <c r="A900" t="str">
        <f>"00247782 / 1"</f>
        <v>00247782 / 1</v>
      </c>
      <c r="B900" t="str">
        <f>"13° Salário Anual"</f>
        <v>13° Salário Anual</v>
      </c>
      <c r="C900" t="str">
        <f>"Luselina Silva Nunes"</f>
        <v>Luselina Silva Nunes</v>
      </c>
      <c r="D900" t="str">
        <f>"PENSIONISTA"</f>
        <v>PENSIONISTA</v>
      </c>
      <c r="E900" t="str">
        <f>"Pensionista"</f>
        <v>Pensionista</v>
      </c>
      <c r="F900" t="str">
        <f>"R$ 4.400,00"</f>
        <v>R$ 4.400,00</v>
      </c>
      <c r="G900" t="str">
        <f>"R$ 4.400,00"</f>
        <v>R$ 4.400,00</v>
      </c>
      <c r="H900" t="str">
        <f t="shared" si="77"/>
        <v>R$ 0,00</v>
      </c>
      <c r="I900" t="str">
        <f>"R$ 4.400,00"</f>
        <v>R$ 4.400,00</v>
      </c>
      <c r="J900" t="str">
        <f>"R$ 2.553,87"</f>
        <v>R$ 2.553,87</v>
      </c>
      <c r="K900" t="str">
        <f>"R$ 1.846,13"</f>
        <v>R$ 1.846,13</v>
      </c>
    </row>
    <row r="901" spans="1:11" x14ac:dyDescent="0.25">
      <c r="A901" t="str">
        <f>"00247782 / 1"</f>
        <v>00247782 / 1</v>
      </c>
      <c r="B901" t="str">
        <f>"Folha Mensal"</f>
        <v>Folha Mensal</v>
      </c>
      <c r="C901" t="str">
        <f>"Luselina Silva Nunes"</f>
        <v>Luselina Silva Nunes</v>
      </c>
      <c r="D901" t="str">
        <f>"PENSIONISTA"</f>
        <v>PENSIONISTA</v>
      </c>
      <c r="E901" t="str">
        <f>"Pensionista"</f>
        <v>Pensionista</v>
      </c>
      <c r="F901" t="str">
        <f>"R$ 4.400,00"</f>
        <v>R$ 4.400,00</v>
      </c>
      <c r="G901" t="str">
        <f>"R$ 4.400,00"</f>
        <v>R$ 4.400,00</v>
      </c>
      <c r="H901" t="str">
        <f t="shared" si="77"/>
        <v>R$ 0,00</v>
      </c>
      <c r="I901" t="str">
        <f>"R$ 4.400,00"</f>
        <v>R$ 4.400,00</v>
      </c>
      <c r="J901" t="str">
        <f>"R$ 1.319,94"</f>
        <v>R$ 1.319,94</v>
      </c>
      <c r="K901" t="str">
        <f>"R$ 3.080,06"</f>
        <v>R$ 3.080,06</v>
      </c>
    </row>
    <row r="902" spans="1:11" x14ac:dyDescent="0.25">
      <c r="A902" t="str">
        <f>"00011010 / 1"</f>
        <v>00011010 / 1</v>
      </c>
      <c r="B902" t="str">
        <f>"13° Salário Anual"</f>
        <v>13° Salário Anual</v>
      </c>
      <c r="C902" t="str">
        <f>"Lusia Gomes da Silva"</f>
        <v>Lusia Gomes da Silva</v>
      </c>
      <c r="D902" t="str">
        <f>"PROP IDADE"</f>
        <v>PROP IDADE</v>
      </c>
      <c r="E902" t="str">
        <f>"Efetivo-Inativo I- RJUSM"</f>
        <v>Efetivo-Inativo I- RJUSM</v>
      </c>
      <c r="F902" t="str">
        <f>"R$ 1.100,00"</f>
        <v>R$ 1.100,00</v>
      </c>
      <c r="G902" t="str">
        <f>"R$ 1.100,00"</f>
        <v>R$ 1.100,00</v>
      </c>
      <c r="H902" t="str">
        <f t="shared" si="77"/>
        <v>R$ 0,00</v>
      </c>
      <c r="I902" t="str">
        <f>"R$ 1.100,00"</f>
        <v>R$ 1.100,00</v>
      </c>
      <c r="J902" t="str">
        <f>"R$ 550,00"</f>
        <v>R$ 550,00</v>
      </c>
      <c r="K902" t="str">
        <f>"R$ 550,00"</f>
        <v>R$ 550,00</v>
      </c>
    </row>
    <row r="903" spans="1:11" x14ac:dyDescent="0.25">
      <c r="A903" t="str">
        <f>"00011010 / 1"</f>
        <v>00011010 / 1</v>
      </c>
      <c r="B903" t="str">
        <f>"Folha Mensal"</f>
        <v>Folha Mensal</v>
      </c>
      <c r="C903" t="str">
        <f>"Lusia Gomes da Silva"</f>
        <v>Lusia Gomes da Silva</v>
      </c>
      <c r="D903" t="str">
        <f>"PROP IDADE"</f>
        <v>PROP IDADE</v>
      </c>
      <c r="E903" t="str">
        <f>"Efetivo-Inativo I- RJUSM"</f>
        <v>Efetivo-Inativo I- RJUSM</v>
      </c>
      <c r="F903" t="str">
        <f>"R$ 1.100,00"</f>
        <v>R$ 1.100,00</v>
      </c>
      <c r="G903" t="str">
        <f>"R$ 1.100,00"</f>
        <v>R$ 1.100,00</v>
      </c>
      <c r="H903" t="str">
        <f t="shared" si="77"/>
        <v>R$ 0,00</v>
      </c>
      <c r="I903" t="str">
        <f>"R$ 1.100,00"</f>
        <v>R$ 1.100,00</v>
      </c>
      <c r="J903" t="str">
        <f>"R$ 0,00"</f>
        <v>R$ 0,00</v>
      </c>
      <c r="K903" t="str">
        <f>"R$ 1.100,00"</f>
        <v>R$ 1.100,00</v>
      </c>
    </row>
    <row r="904" spans="1:11" x14ac:dyDescent="0.25">
      <c r="A904" t="str">
        <f>"03643140 / 1"</f>
        <v>03643140 / 1</v>
      </c>
      <c r="B904" t="str">
        <f>"13° Salário Anual"</f>
        <v>13° Salário Anual</v>
      </c>
      <c r="C904" t="str">
        <f>"Luzia da Rocha Monteiro"</f>
        <v>Luzia da Rocha Monteiro</v>
      </c>
      <c r="D904" t="str">
        <f>"PENSIONISTA"</f>
        <v>PENSIONISTA</v>
      </c>
      <c r="E904" t="str">
        <f>"Pensionista"</f>
        <v>Pensionista</v>
      </c>
      <c r="F904" t="str">
        <f>"R$ 1.100,00"</f>
        <v>R$ 1.100,00</v>
      </c>
      <c r="G904" t="str">
        <f>"R$ 1.320,00"</f>
        <v>R$ 1.320,00</v>
      </c>
      <c r="H904" t="str">
        <f t="shared" si="77"/>
        <v>R$ 0,00</v>
      </c>
      <c r="I904" t="str">
        <f>"R$ 1.320,00"</f>
        <v>R$ 1.320,00</v>
      </c>
      <c r="J904" t="str">
        <f>"R$ 660,00"</f>
        <v>R$ 660,00</v>
      </c>
      <c r="K904" t="str">
        <f>"R$ 660,00"</f>
        <v>R$ 660,00</v>
      </c>
    </row>
    <row r="905" spans="1:11" x14ac:dyDescent="0.25">
      <c r="A905" t="str">
        <f>"03643140 / 1"</f>
        <v>03643140 / 1</v>
      </c>
      <c r="B905" t="str">
        <f>"Folha Mensal"</f>
        <v>Folha Mensal</v>
      </c>
      <c r="C905" t="str">
        <f>"Luzia da Rocha Monteiro"</f>
        <v>Luzia da Rocha Monteiro</v>
      </c>
      <c r="D905" t="str">
        <f>"PENSIONISTA"</f>
        <v>PENSIONISTA</v>
      </c>
      <c r="E905" t="str">
        <f>"Pensionista"</f>
        <v>Pensionista</v>
      </c>
      <c r="F905" t="str">
        <f>"R$ 1.100,00"</f>
        <v>R$ 1.100,00</v>
      </c>
      <c r="G905" t="str">
        <f>"R$ 1.320,00"</f>
        <v>R$ 1.320,00</v>
      </c>
      <c r="H905" t="str">
        <f t="shared" si="77"/>
        <v>R$ 0,00</v>
      </c>
      <c r="I905" t="str">
        <f>"R$ 1.320,00"</f>
        <v>R$ 1.320,00</v>
      </c>
      <c r="J905" t="str">
        <f>"R$ 0,00"</f>
        <v>R$ 0,00</v>
      </c>
      <c r="K905" t="str">
        <f>"R$ 1.320,00"</f>
        <v>R$ 1.320,00</v>
      </c>
    </row>
    <row r="906" spans="1:11" x14ac:dyDescent="0.25">
      <c r="A906" t="str">
        <f>"00158909 / 1"</f>
        <v>00158909 / 1</v>
      </c>
      <c r="B906" t="str">
        <f>"13° Salário Anual"</f>
        <v>13° Salário Anual</v>
      </c>
      <c r="C906" t="str">
        <f>"Luzia de Lima Sobral"</f>
        <v>Luzia de Lima Sobral</v>
      </c>
      <c r="D906" t="str">
        <f>"PROP COMPULSORIA"</f>
        <v>PROP COMPULSORIA</v>
      </c>
      <c r="E906" t="str">
        <f>"Efetivo-Inativo I- RJUSM"</f>
        <v>Efetivo-Inativo I- RJUSM</v>
      </c>
      <c r="F906" t="str">
        <f>"R$ 1.321,37"</f>
        <v>R$ 1.321,37</v>
      </c>
      <c r="G906" t="str">
        <f>"R$ 1.321,37"</f>
        <v>R$ 1.321,37</v>
      </c>
      <c r="H906" t="str">
        <f t="shared" si="77"/>
        <v>R$ 0,00</v>
      </c>
      <c r="I906" t="str">
        <f>"R$ 1.321,37"</f>
        <v>R$ 1.321,37</v>
      </c>
      <c r="J906" t="str">
        <f>"R$ 660,68"</f>
        <v>R$ 660,68</v>
      </c>
      <c r="K906" t="str">
        <f>"R$ 660,69"</f>
        <v>R$ 660,69</v>
      </c>
    </row>
    <row r="907" spans="1:11" x14ac:dyDescent="0.25">
      <c r="A907" t="str">
        <f>"00158909 / 1"</f>
        <v>00158909 / 1</v>
      </c>
      <c r="B907" t="str">
        <f>"Folha Mensal"</f>
        <v>Folha Mensal</v>
      </c>
      <c r="C907" t="str">
        <f>"Luzia de Lima Sobral"</f>
        <v>Luzia de Lima Sobral</v>
      </c>
      <c r="D907" t="str">
        <f>"PROP COMPULSORIA"</f>
        <v>PROP COMPULSORIA</v>
      </c>
      <c r="E907" t="str">
        <f>"Efetivo-Inativo I- RJUSM"</f>
        <v>Efetivo-Inativo I- RJUSM</v>
      </c>
      <c r="F907" t="str">
        <f>"R$ 1.321,37"</f>
        <v>R$ 1.321,37</v>
      </c>
      <c r="G907" t="str">
        <f>"R$ 1.321,37"</f>
        <v>R$ 1.321,37</v>
      </c>
      <c r="H907" t="str">
        <f t="shared" si="77"/>
        <v>R$ 0,00</v>
      </c>
      <c r="I907" t="str">
        <f>"R$ 1.321,37"</f>
        <v>R$ 1.321,37</v>
      </c>
      <c r="J907" t="str">
        <f>"R$ 0,00"</f>
        <v>R$ 0,00</v>
      </c>
      <c r="K907" t="str">
        <f>"R$ 1.321,37"</f>
        <v>R$ 1.321,37</v>
      </c>
    </row>
    <row r="908" spans="1:11" x14ac:dyDescent="0.25">
      <c r="A908" t="str">
        <f>"00002674 / 1"</f>
        <v>00002674 / 1</v>
      </c>
      <c r="B908" t="str">
        <f>"13° Salário Anual"</f>
        <v>13° Salário Anual</v>
      </c>
      <c r="C908" t="str">
        <f>"Luzia de Moraes Cordeiro Martins"</f>
        <v>Luzia de Moraes Cordeiro Martins</v>
      </c>
      <c r="D908" t="str">
        <f>"PROFESSOR"</f>
        <v>PROFESSOR</v>
      </c>
      <c r="E908" t="str">
        <f>"Efetivo-Inativo I- RJUSM"</f>
        <v>Efetivo-Inativo I- RJUSM</v>
      </c>
      <c r="F908" t="str">
        <f>"R$ 1.593,46"</f>
        <v>R$ 1.593,46</v>
      </c>
      <c r="G908" t="str">
        <f>"R$ 1.991,82"</f>
        <v>R$ 1.991,82</v>
      </c>
      <c r="H908" t="str">
        <f t="shared" si="77"/>
        <v>R$ 0,00</v>
      </c>
      <c r="I908" t="str">
        <f>"R$ 1.991,82"</f>
        <v>R$ 1.991,82</v>
      </c>
      <c r="J908" t="str">
        <f>"R$ 995,91"</f>
        <v>R$ 995,91</v>
      </c>
      <c r="K908" t="str">
        <f>"R$ 995,91"</f>
        <v>R$ 995,91</v>
      </c>
    </row>
    <row r="909" spans="1:11" x14ac:dyDescent="0.25">
      <c r="A909" t="str">
        <f>"00002674 / 1"</f>
        <v>00002674 / 1</v>
      </c>
      <c r="B909" t="str">
        <f>"Folha Mensal"</f>
        <v>Folha Mensal</v>
      </c>
      <c r="C909" t="str">
        <f>"Luzia de Moraes Cordeiro Martins"</f>
        <v>Luzia de Moraes Cordeiro Martins</v>
      </c>
      <c r="D909" t="str">
        <f>"PROFESSOR"</f>
        <v>PROFESSOR</v>
      </c>
      <c r="E909" t="str">
        <f>"Efetivo-Inativo I- RJUSM"</f>
        <v>Efetivo-Inativo I- RJUSM</v>
      </c>
      <c r="F909" t="str">
        <f>"R$ 1.593,46"</f>
        <v>R$ 1.593,46</v>
      </c>
      <c r="G909" t="str">
        <f>"R$ 1.991,82"</f>
        <v>R$ 1.991,82</v>
      </c>
      <c r="H909" t="str">
        <f t="shared" si="77"/>
        <v>R$ 0,00</v>
      </c>
      <c r="I909" t="str">
        <f>"R$ 1.991,82"</f>
        <v>R$ 1.991,82</v>
      </c>
      <c r="J909" t="str">
        <f>"R$ 649,96"</f>
        <v>R$ 649,96</v>
      </c>
      <c r="K909" t="str">
        <f>"R$ 1.341,86"</f>
        <v>R$ 1.341,86</v>
      </c>
    </row>
    <row r="910" spans="1:11" x14ac:dyDescent="0.25">
      <c r="A910" t="str">
        <f>"00007900 / 1"</f>
        <v>00007900 / 1</v>
      </c>
      <c r="B910" t="str">
        <f>"13° Salário Anual"</f>
        <v>13° Salário Anual</v>
      </c>
      <c r="C910" t="str">
        <f>"Luzia de Souza Farias"</f>
        <v>Luzia de Souza Farias</v>
      </c>
      <c r="D910" t="str">
        <f>"INT TEMP CONTRIBUICAO"</f>
        <v>INT TEMP CONTRIBUICAO</v>
      </c>
      <c r="E910" t="str">
        <f>"Efetivo-Inativos II-RJUSM"</f>
        <v>Efetivo-Inativos II-RJUSM</v>
      </c>
      <c r="F910" t="str">
        <f>"R$ 1.100,00"</f>
        <v>R$ 1.100,00</v>
      </c>
      <c r="G910" t="str">
        <f>"R$ 1.430,00"</f>
        <v>R$ 1.430,00</v>
      </c>
      <c r="H910" t="str">
        <f t="shared" si="77"/>
        <v>R$ 0,00</v>
      </c>
      <c r="I910" t="str">
        <f>"R$ 1.430,00"</f>
        <v>R$ 1.430,00</v>
      </c>
      <c r="J910" t="str">
        <f>"R$ 715,00"</f>
        <v>R$ 715,00</v>
      </c>
      <c r="K910" t="str">
        <f>"R$ 715,00"</f>
        <v>R$ 715,00</v>
      </c>
    </row>
    <row r="911" spans="1:11" x14ac:dyDescent="0.25">
      <c r="A911" t="str">
        <f>"00007900 / 1"</f>
        <v>00007900 / 1</v>
      </c>
      <c r="B911" t="str">
        <f>"Folha Mensal"</f>
        <v>Folha Mensal</v>
      </c>
      <c r="C911" t="str">
        <f>"Luzia de Souza Farias"</f>
        <v>Luzia de Souza Farias</v>
      </c>
      <c r="D911" t="str">
        <f>"INT TEMP CONTRIBUICAO"</f>
        <v>INT TEMP CONTRIBUICAO</v>
      </c>
      <c r="E911" t="str">
        <f>"Efetivo-Inativos II-RJUSM"</f>
        <v>Efetivo-Inativos II-RJUSM</v>
      </c>
      <c r="F911" t="str">
        <f>"R$ 1.100,00"</f>
        <v>R$ 1.100,00</v>
      </c>
      <c r="G911" t="str">
        <f>"R$ 1.430,00"</f>
        <v>R$ 1.430,00</v>
      </c>
      <c r="H911" t="str">
        <f t="shared" si="77"/>
        <v>R$ 0,00</v>
      </c>
      <c r="I911" t="str">
        <f>"R$ 1.430,00"</f>
        <v>R$ 1.430,00</v>
      </c>
      <c r="J911" t="str">
        <f>"R$ 0,00"</f>
        <v>R$ 0,00</v>
      </c>
      <c r="K911" t="str">
        <f>"R$ 1.430,00"</f>
        <v>R$ 1.430,00</v>
      </c>
    </row>
    <row r="912" spans="1:11" x14ac:dyDescent="0.25">
      <c r="A912" t="str">
        <f>"00007404 / 1"</f>
        <v>00007404 / 1</v>
      </c>
      <c r="B912" t="str">
        <f>"13° Salário Anual"</f>
        <v>13° Salário Anual</v>
      </c>
      <c r="C912" t="str">
        <f>"Luzia Ferreira Ramos"</f>
        <v>Luzia Ferreira Ramos</v>
      </c>
      <c r="D912" t="str">
        <f>"PROP IDADE"</f>
        <v>PROP IDADE</v>
      </c>
      <c r="E912" t="str">
        <f>"Efetivo-Inativo I- RJUSM"</f>
        <v>Efetivo-Inativo I- RJUSM</v>
      </c>
      <c r="F912" t="str">
        <f>"R$ 1.100,00"</f>
        <v>R$ 1.100,00</v>
      </c>
      <c r="G912" t="str">
        <f>"R$ 1.265,00"</f>
        <v>R$ 1.265,00</v>
      </c>
      <c r="H912" t="str">
        <f t="shared" si="77"/>
        <v>R$ 0,00</v>
      </c>
      <c r="I912" t="str">
        <f>"R$ 1.265,00"</f>
        <v>R$ 1.265,00</v>
      </c>
      <c r="J912" t="str">
        <f>"R$ 632,50"</f>
        <v>R$ 632,50</v>
      </c>
      <c r="K912" t="str">
        <f>"R$ 632,50"</f>
        <v>R$ 632,50</v>
      </c>
    </row>
    <row r="913" spans="1:11" x14ac:dyDescent="0.25">
      <c r="A913" t="str">
        <f>"00007404 / 1"</f>
        <v>00007404 / 1</v>
      </c>
      <c r="B913" t="str">
        <f>"Folha Mensal"</f>
        <v>Folha Mensal</v>
      </c>
      <c r="C913" t="str">
        <f>"Luzia Ferreira Ramos"</f>
        <v>Luzia Ferreira Ramos</v>
      </c>
      <c r="D913" t="str">
        <f>"PROP IDADE"</f>
        <v>PROP IDADE</v>
      </c>
      <c r="E913" t="str">
        <f>"Efetivo-Inativo I- RJUSM"</f>
        <v>Efetivo-Inativo I- RJUSM</v>
      </c>
      <c r="F913" t="str">
        <f>"R$ 1.100,00"</f>
        <v>R$ 1.100,00</v>
      </c>
      <c r="G913" t="str">
        <f>"R$ 1.265,00"</f>
        <v>R$ 1.265,00</v>
      </c>
      <c r="H913" t="str">
        <f t="shared" si="77"/>
        <v>R$ 0,00</v>
      </c>
      <c r="I913" t="str">
        <f>"R$ 1.265,00"</f>
        <v>R$ 1.265,00</v>
      </c>
      <c r="J913" t="str">
        <f>"R$ 0,00"</f>
        <v>R$ 0,00</v>
      </c>
      <c r="K913" t="str">
        <f>"R$ 1.265,00"</f>
        <v>R$ 1.265,00</v>
      </c>
    </row>
    <row r="914" spans="1:11" x14ac:dyDescent="0.25">
      <c r="A914" t="str">
        <f>"03642429 / 1"</f>
        <v>03642429 / 1</v>
      </c>
      <c r="B914" t="str">
        <f>"13° Salário Anual"</f>
        <v>13° Salário Anual</v>
      </c>
      <c r="C914" t="str">
        <f>"Luzinete Figueiredo de Lima"</f>
        <v>Luzinete Figueiredo de Lima</v>
      </c>
      <c r="D914" t="str">
        <f>"PENSIONISTA"</f>
        <v>PENSIONISTA</v>
      </c>
      <c r="E914" t="str">
        <f>"Pensionista"</f>
        <v>Pensionista</v>
      </c>
      <c r="F914" t="str">
        <f>"R$ 2.387,54"</f>
        <v>R$ 2.387,54</v>
      </c>
      <c r="G914" t="str">
        <f>"R$ 2.387,54"</f>
        <v>R$ 2.387,54</v>
      </c>
      <c r="H914" t="str">
        <f t="shared" si="77"/>
        <v>R$ 0,00</v>
      </c>
      <c r="I914" t="str">
        <f>"R$ 2.387,54"</f>
        <v>R$ 2.387,54</v>
      </c>
      <c r="J914" t="str">
        <f>"R$ 1.193,77"</f>
        <v>R$ 1.193,77</v>
      </c>
      <c r="K914" t="str">
        <f>"R$ 1.193,77"</f>
        <v>R$ 1.193,77</v>
      </c>
    </row>
    <row r="915" spans="1:11" x14ac:dyDescent="0.25">
      <c r="A915" t="str">
        <f>"03642429 / 1"</f>
        <v>03642429 / 1</v>
      </c>
      <c r="B915" t="str">
        <f>"Folha Mensal"</f>
        <v>Folha Mensal</v>
      </c>
      <c r="C915" t="str">
        <f>"Luzinete Figueiredo de Lima"</f>
        <v>Luzinete Figueiredo de Lima</v>
      </c>
      <c r="D915" t="str">
        <f>"PENSIONISTA"</f>
        <v>PENSIONISTA</v>
      </c>
      <c r="E915" t="str">
        <f>"Pensionista"</f>
        <v>Pensionista</v>
      </c>
      <c r="F915" t="str">
        <f>"R$ 2.387,54"</f>
        <v>R$ 2.387,54</v>
      </c>
      <c r="G915" t="str">
        <f>"R$ 2.387,54"</f>
        <v>R$ 2.387,54</v>
      </c>
      <c r="H915" t="str">
        <f t="shared" si="77"/>
        <v>R$ 0,00</v>
      </c>
      <c r="I915" t="str">
        <f>"R$ 2.387,54"</f>
        <v>R$ 2.387,54</v>
      </c>
      <c r="J915" t="str">
        <f>"R$ 0,00"</f>
        <v>R$ 0,00</v>
      </c>
      <c r="K915" t="str">
        <f>"R$ 2.387,54"</f>
        <v>R$ 2.387,54</v>
      </c>
    </row>
    <row r="916" spans="1:11" x14ac:dyDescent="0.25">
      <c r="A916" t="str">
        <f>"00053058 / 1"</f>
        <v>00053058 / 1</v>
      </c>
      <c r="B916" t="str">
        <f>"13° Salário Anual"</f>
        <v>13° Salário Anual</v>
      </c>
      <c r="C916" t="str">
        <f>"Lydia Maria do Socorro Aragão de Abreu"</f>
        <v>Lydia Maria do Socorro Aragão de Abreu</v>
      </c>
      <c r="D916" t="str">
        <f>"PROFESSOR NIVEL III"</f>
        <v>PROFESSOR NIVEL III</v>
      </c>
      <c r="E916" t="str">
        <f>"Efetivo-Inativos II-RJUSM"</f>
        <v>Efetivo-Inativos II-RJUSM</v>
      </c>
      <c r="F916" t="str">
        <f>"R$ 4.514,83"</f>
        <v>R$ 4.514,83</v>
      </c>
      <c r="G916" t="str">
        <f>"R$ 5.417,79"</f>
        <v>R$ 5.417,79</v>
      </c>
      <c r="H916" t="str">
        <f t="shared" si="77"/>
        <v>R$ 0,00</v>
      </c>
      <c r="I916" t="str">
        <f>"R$ 5.417,79"</f>
        <v>R$ 5.417,79</v>
      </c>
      <c r="J916" t="str">
        <f>"R$ 3.329,42"</f>
        <v>R$ 3.329,42</v>
      </c>
      <c r="K916" t="str">
        <f>"R$ 2.088,37"</f>
        <v>R$ 2.088,37</v>
      </c>
    </row>
    <row r="917" spans="1:11" x14ac:dyDescent="0.25">
      <c r="A917" t="str">
        <f>"00053058 / 1"</f>
        <v>00053058 / 1</v>
      </c>
      <c r="B917" t="str">
        <f>"Folha Mensal"</f>
        <v>Folha Mensal</v>
      </c>
      <c r="C917" t="str">
        <f>"Lydia Maria do Socorro Aragão de Abreu"</f>
        <v>Lydia Maria do Socorro Aragão de Abreu</v>
      </c>
      <c r="D917" t="str">
        <f>"PROFESSOR NIVEL III"</f>
        <v>PROFESSOR NIVEL III</v>
      </c>
      <c r="E917" t="str">
        <f>"Efetivo-Inativos II-RJUSM"</f>
        <v>Efetivo-Inativos II-RJUSM</v>
      </c>
      <c r="F917" t="str">
        <f>"R$ 4.514,83"</f>
        <v>R$ 4.514,83</v>
      </c>
      <c r="G917" t="str">
        <f>"R$ 5.417,79"</f>
        <v>R$ 5.417,79</v>
      </c>
      <c r="H917" t="str">
        <f t="shared" si="77"/>
        <v>R$ 0,00</v>
      </c>
      <c r="I917" t="str">
        <f>"R$ 5.417,79"</f>
        <v>R$ 5.417,79</v>
      </c>
      <c r="J917" t="str">
        <f>"R$ 620,53"</f>
        <v>R$ 620,53</v>
      </c>
      <c r="K917" t="str">
        <f>"R$ 4.797,26"</f>
        <v>R$ 4.797,26</v>
      </c>
    </row>
    <row r="918" spans="1:11" x14ac:dyDescent="0.25">
      <c r="A918" t="str">
        <f>"03640701 / 1"</f>
        <v>03640701 / 1</v>
      </c>
      <c r="B918" t="str">
        <f>"13° Salário Anual"</f>
        <v>13° Salário Anual</v>
      </c>
      <c r="C918" t="str">
        <f>"Madson Magry Pereira Rabelo"</f>
        <v>Madson Magry Pereira Rabelo</v>
      </c>
      <c r="D918" t="str">
        <f>"DAS 07"</f>
        <v>DAS 07</v>
      </c>
      <c r="E918" t="str">
        <f>"Comissionado"</f>
        <v>Comissionado</v>
      </c>
      <c r="F918" t="str">
        <f>"R$ 3.154,55"</f>
        <v>R$ 3.154,55</v>
      </c>
      <c r="G918" t="str">
        <f>"R$ 2.891,67"</f>
        <v>R$ 2.891,67</v>
      </c>
      <c r="H918" t="str">
        <f t="shared" si="77"/>
        <v>R$ 0,00</v>
      </c>
      <c r="I918" t="str">
        <f>"R$ 2.891,67"</f>
        <v>R$ 2.891,67</v>
      </c>
      <c r="J918" t="str">
        <f>"R$ 1.764,46"</f>
        <v>R$ 1.764,46</v>
      </c>
      <c r="K918" t="str">
        <f>"R$ 1.127,21"</f>
        <v>R$ 1.127,21</v>
      </c>
    </row>
    <row r="919" spans="1:11" x14ac:dyDescent="0.25">
      <c r="A919" t="str">
        <f>"03640701 / 1"</f>
        <v>03640701 / 1</v>
      </c>
      <c r="B919" t="str">
        <f>"Folha Mensal"</f>
        <v>Folha Mensal</v>
      </c>
      <c r="C919" t="str">
        <f>"Madson Magry Pereira Rabelo"</f>
        <v>Madson Magry Pereira Rabelo</v>
      </c>
      <c r="D919" t="str">
        <f>"DAS 07"</f>
        <v>DAS 07</v>
      </c>
      <c r="E919" t="str">
        <f>"Comissionado"</f>
        <v>Comissionado</v>
      </c>
      <c r="F919" t="str">
        <f>"R$ 3.154,55"</f>
        <v>R$ 3.154,55</v>
      </c>
      <c r="G919" t="str">
        <f>"R$ 3.154,55"</f>
        <v>R$ 3.154,55</v>
      </c>
      <c r="H919" t="str">
        <f t="shared" si="77"/>
        <v>R$ 0,00</v>
      </c>
      <c r="I919" t="str">
        <f>"R$ 3.154,55"</f>
        <v>R$ 3.154,55</v>
      </c>
      <c r="J919" t="str">
        <f>"R$ 369,92"</f>
        <v>R$ 369,92</v>
      </c>
      <c r="K919" t="str">
        <f>"R$ 2.784,63"</f>
        <v>R$ 2.784,63</v>
      </c>
    </row>
    <row r="920" spans="1:11" x14ac:dyDescent="0.25">
      <c r="A920" t="str">
        <f>"03642372 / 1"</f>
        <v>03642372 / 1</v>
      </c>
      <c r="B920" t="str">
        <f>"13° Salário Anual"</f>
        <v>13° Salário Anual</v>
      </c>
      <c r="C920" t="str">
        <f>"Manoel de Nazare dos Santos Silva"</f>
        <v>Manoel de Nazare dos Santos Silva</v>
      </c>
      <c r="D920" t="str">
        <f>"PENSIONISTA DE PROFESSOR"</f>
        <v>PENSIONISTA DE PROFESSOR</v>
      </c>
      <c r="E920" t="str">
        <f t="shared" ref="E920:E927" si="78">"Pensionista"</f>
        <v>Pensionista</v>
      </c>
      <c r="F920" t="str">
        <f>"R$ 2.071,51"</f>
        <v>R$ 2.071,51</v>
      </c>
      <c r="G920" t="str">
        <f>"R$ 2.485,81"</f>
        <v>R$ 2.485,81</v>
      </c>
      <c r="H920" t="str">
        <f t="shared" si="77"/>
        <v>R$ 0,00</v>
      </c>
      <c r="I920" t="str">
        <f>"R$ 2.485,81"</f>
        <v>R$ 2.485,81</v>
      </c>
      <c r="J920" t="str">
        <f>"R$ 1.242,90"</f>
        <v>R$ 1.242,90</v>
      </c>
      <c r="K920" t="str">
        <f>"R$ 1.242,91"</f>
        <v>R$ 1.242,91</v>
      </c>
    </row>
    <row r="921" spans="1:11" x14ac:dyDescent="0.25">
      <c r="A921" t="str">
        <f>"03642372 / 1"</f>
        <v>03642372 / 1</v>
      </c>
      <c r="B921" t="str">
        <f>"Folha Mensal"</f>
        <v>Folha Mensal</v>
      </c>
      <c r="C921" t="str">
        <f>"Manoel de Nazare dos Santos Silva"</f>
        <v>Manoel de Nazare dos Santos Silva</v>
      </c>
      <c r="D921" t="str">
        <f>"PENSIONISTA DE PROFESSOR"</f>
        <v>PENSIONISTA DE PROFESSOR</v>
      </c>
      <c r="E921" t="str">
        <f t="shared" si="78"/>
        <v>Pensionista</v>
      </c>
      <c r="F921" t="str">
        <f>"R$ 2.071,51"</f>
        <v>R$ 2.071,51</v>
      </c>
      <c r="G921" t="str">
        <f>"R$ 2.485,81"</f>
        <v>R$ 2.485,81</v>
      </c>
      <c r="H921" t="str">
        <f t="shared" si="77"/>
        <v>R$ 0,00</v>
      </c>
      <c r="I921" t="str">
        <f>"R$ 2.485,81"</f>
        <v>R$ 2.485,81</v>
      </c>
      <c r="J921" t="str">
        <f>"R$ 0,00"</f>
        <v>R$ 0,00</v>
      </c>
      <c r="K921" t="str">
        <f>"R$ 2.485,81"</f>
        <v>R$ 2.485,81</v>
      </c>
    </row>
    <row r="922" spans="1:11" x14ac:dyDescent="0.25">
      <c r="A922" t="str">
        <f>"00406230 / 1"</f>
        <v>00406230 / 1</v>
      </c>
      <c r="B922" t="str">
        <f>"13° Salário Anual"</f>
        <v>13° Salário Anual</v>
      </c>
      <c r="C922" t="str">
        <f>"Manoel de Souza Braga"</f>
        <v>Manoel de Souza Braga</v>
      </c>
      <c r="D922" t="str">
        <f t="shared" ref="D922:D927" si="79">"PENSIONISTA"</f>
        <v>PENSIONISTA</v>
      </c>
      <c r="E922" t="str">
        <f t="shared" si="78"/>
        <v>Pensionista</v>
      </c>
      <c r="F922" t="str">
        <f>"R$ 1.100,00"</f>
        <v>R$ 1.100,00</v>
      </c>
      <c r="G922" t="str">
        <f>"R$ 1.155,00"</f>
        <v>R$ 1.155,00</v>
      </c>
      <c r="H922" t="str">
        <f t="shared" si="77"/>
        <v>R$ 0,00</v>
      </c>
      <c r="I922" t="str">
        <f>"R$ 1.155,00"</f>
        <v>R$ 1.155,00</v>
      </c>
      <c r="J922" t="str">
        <f>"R$ 577,50"</f>
        <v>R$ 577,50</v>
      </c>
      <c r="K922" t="str">
        <f>"R$ 577,50"</f>
        <v>R$ 577,50</v>
      </c>
    </row>
    <row r="923" spans="1:11" x14ac:dyDescent="0.25">
      <c r="A923" t="str">
        <f>"00406230 / 1"</f>
        <v>00406230 / 1</v>
      </c>
      <c r="B923" t="str">
        <f>"Folha Mensal"</f>
        <v>Folha Mensal</v>
      </c>
      <c r="C923" t="str">
        <f>"Manoel de Souza Braga"</f>
        <v>Manoel de Souza Braga</v>
      </c>
      <c r="D923" t="str">
        <f t="shared" si="79"/>
        <v>PENSIONISTA</v>
      </c>
      <c r="E923" t="str">
        <f t="shared" si="78"/>
        <v>Pensionista</v>
      </c>
      <c r="F923" t="str">
        <f>"R$ 1.100,00"</f>
        <v>R$ 1.100,00</v>
      </c>
      <c r="G923" t="str">
        <f>"R$ 1.155,00"</f>
        <v>R$ 1.155,00</v>
      </c>
      <c r="H923" t="str">
        <f t="shared" si="77"/>
        <v>R$ 0,00</v>
      </c>
      <c r="I923" t="str">
        <f>"R$ 1.155,00"</f>
        <v>R$ 1.155,00</v>
      </c>
      <c r="J923" t="str">
        <f>"R$ 0,00"</f>
        <v>R$ 0,00</v>
      </c>
      <c r="K923" t="str">
        <f>"R$ 1.155,00"</f>
        <v>R$ 1.155,00</v>
      </c>
    </row>
    <row r="924" spans="1:11" x14ac:dyDescent="0.25">
      <c r="A924" t="str">
        <f>"03642844 / 1"</f>
        <v>03642844 / 1</v>
      </c>
      <c r="B924" t="str">
        <f>"13° Salário Anual"</f>
        <v>13° Salário Anual</v>
      </c>
      <c r="C924" t="str">
        <f>"Marcele Souza Bezerra"</f>
        <v>Marcele Souza Bezerra</v>
      </c>
      <c r="D924" t="str">
        <f t="shared" si="79"/>
        <v>PENSIONISTA</v>
      </c>
      <c r="E924" t="str">
        <f t="shared" si="78"/>
        <v>Pensionista</v>
      </c>
      <c r="F924" t="str">
        <f>"R$ 1.100,00"</f>
        <v>R$ 1.100,00</v>
      </c>
      <c r="G924" t="str">
        <f>"R$ 1.265,00"</f>
        <v>R$ 1.265,00</v>
      </c>
      <c r="H924" t="str">
        <f t="shared" si="77"/>
        <v>R$ 0,00</v>
      </c>
      <c r="I924" t="str">
        <f>"R$ 1.265,00"</f>
        <v>R$ 1.265,00</v>
      </c>
      <c r="J924" t="str">
        <f>"R$ 632,50"</f>
        <v>R$ 632,50</v>
      </c>
      <c r="K924" t="str">
        <f>"R$ 632,50"</f>
        <v>R$ 632,50</v>
      </c>
    </row>
    <row r="925" spans="1:11" x14ac:dyDescent="0.25">
      <c r="A925" t="str">
        <f>"03642844 / 1"</f>
        <v>03642844 / 1</v>
      </c>
      <c r="B925" t="str">
        <f>"Folha Mensal"</f>
        <v>Folha Mensal</v>
      </c>
      <c r="C925" t="str">
        <f>"Marcele Souza Bezerra"</f>
        <v>Marcele Souza Bezerra</v>
      </c>
      <c r="D925" t="str">
        <f t="shared" si="79"/>
        <v>PENSIONISTA</v>
      </c>
      <c r="E925" t="str">
        <f t="shared" si="78"/>
        <v>Pensionista</v>
      </c>
      <c r="F925" t="str">
        <f>"R$ 1.100,00"</f>
        <v>R$ 1.100,00</v>
      </c>
      <c r="G925" t="str">
        <f>"R$ 1.265,00"</f>
        <v>R$ 1.265,00</v>
      </c>
      <c r="H925" t="str">
        <f t="shared" si="77"/>
        <v>R$ 0,00</v>
      </c>
      <c r="I925" t="str">
        <f>"R$ 1.265,00"</f>
        <v>R$ 1.265,00</v>
      </c>
      <c r="J925" t="str">
        <f>"R$ 357,79"</f>
        <v>R$ 357,79</v>
      </c>
      <c r="K925" t="str">
        <f>"R$ 907,21"</f>
        <v>R$ 907,21</v>
      </c>
    </row>
    <row r="926" spans="1:11" x14ac:dyDescent="0.25">
      <c r="A926" t="str">
        <f>"03642062 / 1"</f>
        <v>03642062 / 1</v>
      </c>
      <c r="B926" t="str">
        <f>"13° Salário Anual"</f>
        <v>13° Salário Anual</v>
      </c>
      <c r="C926" t="str">
        <f>"Marcelo Anderson Farias de Souza"</f>
        <v>Marcelo Anderson Farias de Souza</v>
      </c>
      <c r="D926" t="str">
        <f t="shared" si="79"/>
        <v>PENSIONISTA</v>
      </c>
      <c r="E926" t="str">
        <f t="shared" si="78"/>
        <v>Pensionista</v>
      </c>
      <c r="F926" t="str">
        <f>"R$ 516,67"</f>
        <v>R$ 516,67</v>
      </c>
      <c r="G926" t="str">
        <f>"R$ 516,67"</f>
        <v>R$ 516,67</v>
      </c>
      <c r="H926" t="str">
        <f t="shared" ref="H926:H932" si="80">"R$ 0,00"</f>
        <v>R$ 0,00</v>
      </c>
      <c r="I926" t="str">
        <f>"R$ 516,67"</f>
        <v>R$ 516,67</v>
      </c>
      <c r="J926" t="str">
        <f>"R$ 258,33"</f>
        <v>R$ 258,33</v>
      </c>
      <c r="K926" t="str">
        <f>"R$ 258,34"</f>
        <v>R$ 258,34</v>
      </c>
    </row>
    <row r="927" spans="1:11" x14ac:dyDescent="0.25">
      <c r="A927" t="str">
        <f>"03642062 / 1"</f>
        <v>03642062 / 1</v>
      </c>
      <c r="B927" t="str">
        <f>"Folha Mensal"</f>
        <v>Folha Mensal</v>
      </c>
      <c r="C927" t="str">
        <f>"Marcelo Anderson Farias de Souza"</f>
        <v>Marcelo Anderson Farias de Souza</v>
      </c>
      <c r="D927" t="str">
        <f t="shared" si="79"/>
        <v>PENSIONISTA</v>
      </c>
      <c r="E927" t="str">
        <f t="shared" si="78"/>
        <v>Pensionista</v>
      </c>
      <c r="F927" t="str">
        <f>"R$ 516,67"</f>
        <v>R$ 516,67</v>
      </c>
      <c r="G927" t="str">
        <f>"R$ 516,67"</f>
        <v>R$ 516,67</v>
      </c>
      <c r="H927" t="str">
        <f t="shared" si="80"/>
        <v>R$ 0,00</v>
      </c>
      <c r="I927" t="str">
        <f>"R$ 516,67"</f>
        <v>R$ 516,67</v>
      </c>
      <c r="J927" t="str">
        <f>"R$ 0,00"</f>
        <v>R$ 0,00</v>
      </c>
      <c r="K927" t="str">
        <f>"R$ 516,67"</f>
        <v>R$ 516,67</v>
      </c>
    </row>
    <row r="928" spans="1:11" x14ac:dyDescent="0.25">
      <c r="A928" t="str">
        <f>"03641198 / 1"</f>
        <v>03641198 / 1</v>
      </c>
      <c r="B928" t="str">
        <f>"13° Salário Anual"</f>
        <v>13° Salário Anual</v>
      </c>
      <c r="C928" t="str">
        <f>"Marcelo Rodrigues Carneiro"</f>
        <v>Marcelo Rodrigues Carneiro</v>
      </c>
      <c r="D928" t="str">
        <f>"DAS 07"</f>
        <v>DAS 07</v>
      </c>
      <c r="E928" t="str">
        <f>"Comissionado"</f>
        <v>Comissionado</v>
      </c>
      <c r="F928" t="str">
        <f>"R$ 3.154,55"</f>
        <v>R$ 3.154,55</v>
      </c>
      <c r="G928" t="str">
        <f>"R$ 2.365,91"</f>
        <v>R$ 2.365,91</v>
      </c>
      <c r="H928" t="str">
        <f t="shared" si="80"/>
        <v>R$ 0,00</v>
      </c>
      <c r="I928" t="str">
        <f>"R$ 2.365,91"</f>
        <v>R$ 2.365,91</v>
      </c>
      <c r="J928" t="str">
        <f>"R$ 1.403,79"</f>
        <v>R$ 1.403,79</v>
      </c>
      <c r="K928" t="str">
        <f>"R$ 962,12"</f>
        <v>R$ 962,12</v>
      </c>
    </row>
    <row r="929" spans="1:11" x14ac:dyDescent="0.25">
      <c r="A929" t="str">
        <f>"03641198 / 1"</f>
        <v>03641198 / 1</v>
      </c>
      <c r="B929" t="str">
        <f>"Folha Mensal"</f>
        <v>Folha Mensal</v>
      </c>
      <c r="C929" t="str">
        <f>"Marcelo Rodrigues Carneiro"</f>
        <v>Marcelo Rodrigues Carneiro</v>
      </c>
      <c r="D929" t="str">
        <f>"DAS 07"</f>
        <v>DAS 07</v>
      </c>
      <c r="E929" t="str">
        <f>"Comissionado"</f>
        <v>Comissionado</v>
      </c>
      <c r="F929" t="str">
        <f>"R$ 3.154,55"</f>
        <v>R$ 3.154,55</v>
      </c>
      <c r="G929" t="str">
        <f>"R$ 3.154,55"</f>
        <v>R$ 3.154,55</v>
      </c>
      <c r="H929" t="str">
        <f t="shared" si="80"/>
        <v>R$ 0,00</v>
      </c>
      <c r="I929" t="str">
        <f>"R$ 3.154,55"</f>
        <v>R$ 3.154,55</v>
      </c>
      <c r="J929" t="str">
        <f>"R$ 369,92"</f>
        <v>R$ 369,92</v>
      </c>
      <c r="K929" t="str">
        <f>"R$ 2.784,63"</f>
        <v>R$ 2.784,63</v>
      </c>
    </row>
    <row r="930" spans="1:11" x14ac:dyDescent="0.25">
      <c r="A930" t="str">
        <f>"03640205 / 1"</f>
        <v>03640205 / 1</v>
      </c>
      <c r="B930" t="str">
        <f>"13° Salário Anual"</f>
        <v>13° Salário Anual</v>
      </c>
      <c r="C930" t="str">
        <f>"Marcia Betania Silva dos Santos"</f>
        <v>Marcia Betania Silva dos Santos</v>
      </c>
      <c r="D930" t="str">
        <f>"PENSIONISTA DE PROFESSOR"</f>
        <v>PENSIONISTA DE PROFESSOR</v>
      </c>
      <c r="E930" t="str">
        <f>"Pensionista"</f>
        <v>Pensionista</v>
      </c>
      <c r="F930" t="str">
        <f>"R$ 4.461,70"</f>
        <v>R$ 4.461,70</v>
      </c>
      <c r="G930" t="str">
        <f>"R$ 4.684,78"</f>
        <v>R$ 4.684,78</v>
      </c>
      <c r="H930" t="str">
        <f t="shared" si="80"/>
        <v>R$ 0,00</v>
      </c>
      <c r="I930" t="str">
        <f>"R$ 4.684,78"</f>
        <v>R$ 4.684,78</v>
      </c>
      <c r="J930" t="str">
        <f>"R$ 2.761,34"</f>
        <v>R$ 2.761,34</v>
      </c>
      <c r="K930" t="str">
        <f>"R$ 1.923,44"</f>
        <v>R$ 1.923,44</v>
      </c>
    </row>
    <row r="931" spans="1:11" x14ac:dyDescent="0.25">
      <c r="A931" t="str">
        <f>"03640205 / 1"</f>
        <v>03640205 / 1</v>
      </c>
      <c r="B931" t="str">
        <f>"Folha Mensal"</f>
        <v>Folha Mensal</v>
      </c>
      <c r="C931" t="str">
        <f>"Marcia Betania Silva dos Santos"</f>
        <v>Marcia Betania Silva dos Santos</v>
      </c>
      <c r="D931" t="str">
        <f>"PENSIONISTA DE PROFESSOR"</f>
        <v>PENSIONISTA DE PROFESSOR</v>
      </c>
      <c r="E931" t="str">
        <f>"Pensionista"</f>
        <v>Pensionista</v>
      </c>
      <c r="F931" t="str">
        <f>"R$ 4.461,70"</f>
        <v>R$ 4.461,70</v>
      </c>
      <c r="G931" t="str">
        <f>"R$ 4.684,78"</f>
        <v>R$ 4.684,78</v>
      </c>
      <c r="H931" t="str">
        <f t="shared" si="80"/>
        <v>R$ 0,00</v>
      </c>
      <c r="I931" t="str">
        <f>"R$ 4.684,78"</f>
        <v>R$ 4.684,78</v>
      </c>
      <c r="J931" t="str">
        <f>"R$ 1.538,95"</f>
        <v>R$ 1.538,95</v>
      </c>
      <c r="K931" t="str">
        <f>"R$ 3.145,83"</f>
        <v>R$ 3.145,83</v>
      </c>
    </row>
    <row r="932" spans="1:11" x14ac:dyDescent="0.25">
      <c r="A932" t="str">
        <f>"00018899 / 3"</f>
        <v>00018899 / 3</v>
      </c>
      <c r="B932" t="str">
        <f>"13° Salário Anual"</f>
        <v>13° Salário Anual</v>
      </c>
      <c r="C932" t="str">
        <f>"Marcia Cristina da Penha Moura"</f>
        <v>Marcia Cristina da Penha Moura</v>
      </c>
      <c r="D932" t="str">
        <f>"DAS 03"</f>
        <v>DAS 03</v>
      </c>
      <c r="E932" t="str">
        <f>"Comissionado"</f>
        <v>Comissionado</v>
      </c>
      <c r="F932" t="str">
        <f>"R$ 1.170,24"</f>
        <v>R$ 1.170,24</v>
      </c>
      <c r="G932" t="str">
        <f>"R$ 1.170,24"</f>
        <v>R$ 1.170,24</v>
      </c>
      <c r="H932" t="str">
        <f t="shared" si="80"/>
        <v>R$ 0,00</v>
      </c>
      <c r="I932" t="str">
        <f>"R$ 1.170,24"</f>
        <v>R$ 1.170,24</v>
      </c>
      <c r="J932" t="str">
        <f>"R$ 673,94"</f>
        <v>R$ 673,94</v>
      </c>
      <c r="K932" t="str">
        <f>"R$ 496,30"</f>
        <v>R$ 496,30</v>
      </c>
    </row>
    <row r="933" spans="1:11" x14ac:dyDescent="0.25">
      <c r="A933" t="str">
        <f>"00018899 / 3"</f>
        <v>00018899 / 3</v>
      </c>
      <c r="B933" t="str">
        <f>"Folha Mensal"</f>
        <v>Folha Mensal</v>
      </c>
      <c r="C933" t="str">
        <f>"Marcia Cristina da Penha Moura"</f>
        <v>Marcia Cristina da Penha Moura</v>
      </c>
      <c r="D933" t="str">
        <f>"DAS 03"</f>
        <v>DAS 03</v>
      </c>
      <c r="E933" t="str">
        <f>"Comissionado"</f>
        <v>Comissionado</v>
      </c>
      <c r="F933" t="str">
        <f>"R$ 1.170,24"</f>
        <v>R$ 1.170,24</v>
      </c>
      <c r="G933" t="str">
        <f>"R$ 1.170,24"</f>
        <v>R$ 1.170,24</v>
      </c>
      <c r="H933" t="str">
        <f>"R$ 288,00"</f>
        <v>R$ 288,00</v>
      </c>
      <c r="I933" t="str">
        <f>"R$ 1.458,24"</f>
        <v>R$ 1.458,24</v>
      </c>
      <c r="J933" t="str">
        <f>"R$ 159,03"</f>
        <v>R$ 159,03</v>
      </c>
      <c r="K933" t="str">
        <f>"R$ 1.299,21"</f>
        <v>R$ 1.299,21</v>
      </c>
    </row>
    <row r="934" spans="1:11" x14ac:dyDescent="0.25">
      <c r="A934" t="str">
        <f>"00044440 / 1"</f>
        <v>00044440 / 1</v>
      </c>
      <c r="B934" t="str">
        <f>"13° Salário Anual"</f>
        <v>13° Salário Anual</v>
      </c>
      <c r="C934" t="str">
        <f>"Marcia Cristina Matos Leite"</f>
        <v>Marcia Cristina Matos Leite</v>
      </c>
      <c r="D934" t="str">
        <f>"PROFESSOR NIVEL II"</f>
        <v>PROFESSOR NIVEL II</v>
      </c>
      <c r="E934" t="str">
        <f t="shared" ref="E934:E939" si="81">"Efetivo-Inativos II-RJUSM"</f>
        <v>Efetivo-Inativos II-RJUSM</v>
      </c>
      <c r="F934" t="str">
        <f>"R$ 2.868,22"</f>
        <v>R$ 2.868,22</v>
      </c>
      <c r="G934" t="str">
        <f>"R$ 3.585,27"</f>
        <v>R$ 3.585,27</v>
      </c>
      <c r="H934" t="str">
        <f t="shared" ref="H934:H944" si="82">"R$ 0,00"</f>
        <v>R$ 0,00</v>
      </c>
      <c r="I934" t="str">
        <f>"R$ 3.585,27"</f>
        <v>R$ 3.585,27</v>
      </c>
      <c r="J934" t="str">
        <f>"R$ 1.947,18"</f>
        <v>R$ 1.947,18</v>
      </c>
      <c r="K934" t="str">
        <f>"R$ 1.638,09"</f>
        <v>R$ 1.638,09</v>
      </c>
    </row>
    <row r="935" spans="1:11" x14ac:dyDescent="0.25">
      <c r="A935" t="str">
        <f>"00044440 / 1"</f>
        <v>00044440 / 1</v>
      </c>
      <c r="B935" t="str">
        <f>"Folha Mensal"</f>
        <v>Folha Mensal</v>
      </c>
      <c r="C935" t="str">
        <f>"Marcia Cristina Matos Leite"</f>
        <v>Marcia Cristina Matos Leite</v>
      </c>
      <c r="D935" t="str">
        <f>"PROFESSOR NIVEL II"</f>
        <v>PROFESSOR NIVEL II</v>
      </c>
      <c r="E935" t="str">
        <f t="shared" si="81"/>
        <v>Efetivo-Inativos II-RJUSM</v>
      </c>
      <c r="F935" t="str">
        <f>"R$ 2.868,22"</f>
        <v>R$ 2.868,22</v>
      </c>
      <c r="G935" t="str">
        <f>"R$ 3.585,27"</f>
        <v>R$ 3.585,27</v>
      </c>
      <c r="H935" t="str">
        <f t="shared" si="82"/>
        <v>R$ 0,00</v>
      </c>
      <c r="I935" t="str">
        <f>"R$ 3.585,27"</f>
        <v>R$ 3.585,27</v>
      </c>
      <c r="J935" t="str">
        <f>"R$ 1.143,10"</f>
        <v>R$ 1.143,10</v>
      </c>
      <c r="K935" t="str">
        <f>"R$ 2.442,17"</f>
        <v>R$ 2.442,17</v>
      </c>
    </row>
    <row r="936" spans="1:11" x14ac:dyDescent="0.25">
      <c r="A936" t="str">
        <f>"00006076 / 1"</f>
        <v>00006076 / 1</v>
      </c>
      <c r="B936" t="str">
        <f>"13° Salário Anual"</f>
        <v>13° Salário Anual</v>
      </c>
      <c r="C936" t="str">
        <f>"Marcia de Jesus Sousa da Silva"</f>
        <v>Marcia de Jesus Sousa da Silva</v>
      </c>
      <c r="D936" t="str">
        <f>"PROFESSOR NIVEL II"</f>
        <v>PROFESSOR NIVEL II</v>
      </c>
      <c r="E936" t="str">
        <f t="shared" si="81"/>
        <v>Efetivo-Inativos II-RJUSM</v>
      </c>
      <c r="F936" t="str">
        <f>"R$ 5.736,47"</f>
        <v>R$ 5.736,47</v>
      </c>
      <c r="G936" t="str">
        <f>"R$ 7.457,41"</f>
        <v>R$ 7.457,41</v>
      </c>
      <c r="H936" t="str">
        <f t="shared" si="82"/>
        <v>R$ 0,00</v>
      </c>
      <c r="I936" t="str">
        <f>"R$ 7.457,41"</f>
        <v>R$ 7.457,41</v>
      </c>
      <c r="J936" t="str">
        <f>"R$ 4.995,65"</f>
        <v>R$ 4.995,65</v>
      </c>
      <c r="K936" t="str">
        <f>"R$ 2.461,76"</f>
        <v>R$ 2.461,76</v>
      </c>
    </row>
    <row r="937" spans="1:11" x14ac:dyDescent="0.25">
      <c r="A937" t="str">
        <f>"00006076 / 1"</f>
        <v>00006076 / 1</v>
      </c>
      <c r="B937" t="str">
        <f>"Folha Mensal"</f>
        <v>Folha Mensal</v>
      </c>
      <c r="C937" t="str">
        <f>"Marcia de Jesus Sousa da Silva"</f>
        <v>Marcia de Jesus Sousa da Silva</v>
      </c>
      <c r="D937" t="str">
        <f>"PROFESSOR NIVEL II"</f>
        <v>PROFESSOR NIVEL II</v>
      </c>
      <c r="E937" t="str">
        <f t="shared" si="81"/>
        <v>Efetivo-Inativos II-RJUSM</v>
      </c>
      <c r="F937" t="str">
        <f>"R$ 5.736,47"</f>
        <v>R$ 5.736,47</v>
      </c>
      <c r="G937" t="str">
        <f>"R$ 7.457,41"</f>
        <v>R$ 7.457,41</v>
      </c>
      <c r="H937" t="str">
        <f t="shared" si="82"/>
        <v>R$ 0,00</v>
      </c>
      <c r="I937" t="str">
        <f>"R$ 7.457,41"</f>
        <v>R$ 7.457,41</v>
      </c>
      <c r="J937" t="str">
        <f>"R$ 3.427,14"</f>
        <v>R$ 3.427,14</v>
      </c>
      <c r="K937" t="str">
        <f>"R$ 4.030,27"</f>
        <v>R$ 4.030,27</v>
      </c>
    </row>
    <row r="938" spans="1:11" x14ac:dyDescent="0.25">
      <c r="A938" t="str">
        <f>"00006432 / 2"</f>
        <v>00006432 / 2</v>
      </c>
      <c r="B938" t="str">
        <f>"13° Salário Anual"</f>
        <v>13° Salário Anual</v>
      </c>
      <c r="C938" t="str">
        <f>"Marcia Helena Santos da Costa"</f>
        <v>Marcia Helena Santos da Costa</v>
      </c>
      <c r="D938" t="str">
        <f>"PROP INVALIDEZ"</f>
        <v>PROP INVALIDEZ</v>
      </c>
      <c r="E938" t="str">
        <f t="shared" si="81"/>
        <v>Efetivo-Inativos II-RJUSM</v>
      </c>
      <c r="F938" t="str">
        <f>"R$ 7.082,80"</f>
        <v>R$ 7.082,80</v>
      </c>
      <c r="G938" t="str">
        <f>"R$ 7.082,80"</f>
        <v>R$ 7.082,80</v>
      </c>
      <c r="H938" t="str">
        <f t="shared" si="82"/>
        <v>R$ 0,00</v>
      </c>
      <c r="I938" t="str">
        <f>"R$ 7.082,80"</f>
        <v>R$ 7.082,80</v>
      </c>
      <c r="J938" t="str">
        <f>"R$ 4.667,31"</f>
        <v>R$ 4.667,31</v>
      </c>
      <c r="K938" t="str">
        <f>"R$ 2.415,49"</f>
        <v>R$ 2.415,49</v>
      </c>
    </row>
    <row r="939" spans="1:11" x14ac:dyDescent="0.25">
      <c r="A939" t="str">
        <f>"00006432 / 2"</f>
        <v>00006432 / 2</v>
      </c>
      <c r="B939" t="str">
        <f>"Folha Mensal"</f>
        <v>Folha Mensal</v>
      </c>
      <c r="C939" t="str">
        <f>"Marcia Helena Santos da Costa"</f>
        <v>Marcia Helena Santos da Costa</v>
      </c>
      <c r="D939" t="str">
        <f>"PROP INVALIDEZ"</f>
        <v>PROP INVALIDEZ</v>
      </c>
      <c r="E939" t="str">
        <f t="shared" si="81"/>
        <v>Efetivo-Inativos II-RJUSM</v>
      </c>
      <c r="F939" t="str">
        <f>"R$ 7.082,80"</f>
        <v>R$ 7.082,80</v>
      </c>
      <c r="G939" t="str">
        <f>"R$ 7.082,80"</f>
        <v>R$ 7.082,80</v>
      </c>
      <c r="H939" t="str">
        <f t="shared" si="82"/>
        <v>R$ 0,00</v>
      </c>
      <c r="I939" t="str">
        <f>"R$ 7.082,80"</f>
        <v>R$ 7.082,80</v>
      </c>
      <c r="J939" t="str">
        <f>"R$ 3.197,55"</f>
        <v>R$ 3.197,55</v>
      </c>
      <c r="K939" t="str">
        <f>"R$ 3.885,25"</f>
        <v>R$ 3.885,25</v>
      </c>
    </row>
    <row r="940" spans="1:11" x14ac:dyDescent="0.25">
      <c r="A940" t="str">
        <f>"03640493 / 1"</f>
        <v>03640493 / 1</v>
      </c>
      <c r="B940" t="str">
        <f>"13° Salário Anual"</f>
        <v>13° Salário Anual</v>
      </c>
      <c r="C940" t="str">
        <f>"Marcio Antonio da Fonseca Souza"</f>
        <v>Marcio Antonio da Fonseca Souza</v>
      </c>
      <c r="D940" t="str">
        <f>"DAS 08"</f>
        <v>DAS 08</v>
      </c>
      <c r="E940" t="str">
        <f>"Comissionado"</f>
        <v>Comissionado</v>
      </c>
      <c r="F940" t="str">
        <f>"R$ 4.200,00"</f>
        <v>R$ 4.200,00</v>
      </c>
      <c r="G940" t="str">
        <f>"R$ 4.200,00"</f>
        <v>R$ 4.200,00</v>
      </c>
      <c r="H940" t="str">
        <f t="shared" si="82"/>
        <v>R$ 0,00</v>
      </c>
      <c r="I940" t="str">
        <f>"R$ 4.200,00"</f>
        <v>R$ 4.200,00</v>
      </c>
      <c r="J940" t="str">
        <f>"R$ 2.749,30"</f>
        <v>R$ 2.749,30</v>
      </c>
      <c r="K940" t="str">
        <f>"R$ 1.450,70"</f>
        <v>R$ 1.450,70</v>
      </c>
    </row>
    <row r="941" spans="1:11" x14ac:dyDescent="0.25">
      <c r="A941" t="str">
        <f>"03640493 / 1"</f>
        <v>03640493 / 1</v>
      </c>
      <c r="B941" t="str">
        <f>"Folha Mensal"</f>
        <v>Folha Mensal</v>
      </c>
      <c r="C941" t="str">
        <f>"Marcio Antonio da Fonseca Souza"</f>
        <v>Marcio Antonio da Fonseca Souza</v>
      </c>
      <c r="D941" t="str">
        <f>"DAS 08"</f>
        <v>DAS 08</v>
      </c>
      <c r="E941" t="str">
        <f>"Comissionado"</f>
        <v>Comissionado</v>
      </c>
      <c r="F941" t="str">
        <f>"R$ 4.200,00"</f>
        <v>R$ 4.200,00</v>
      </c>
      <c r="G941" t="str">
        <f>"R$ 9.800,00"</f>
        <v>R$ 9.800,00</v>
      </c>
      <c r="H941" t="str">
        <f t="shared" si="82"/>
        <v>R$ 0,00</v>
      </c>
      <c r="I941" t="str">
        <f>"R$ 9.800,00"</f>
        <v>R$ 9.800,00</v>
      </c>
      <c r="J941" t="str">
        <f>"R$ 2.030,81"</f>
        <v>R$ 2.030,81</v>
      </c>
      <c r="K941" t="str">
        <f>"R$ 7.769,19"</f>
        <v>R$ 7.769,19</v>
      </c>
    </row>
    <row r="942" spans="1:11" x14ac:dyDescent="0.25">
      <c r="A942" t="str">
        <f>"00276073 / 1"</f>
        <v>00276073 / 1</v>
      </c>
      <c r="B942" t="str">
        <f>"13° Salário Anual"</f>
        <v>13° Salário Anual</v>
      </c>
      <c r="C942" t="str">
        <f>"Marcio Augusto Palheta Luz"</f>
        <v>Marcio Augusto Palheta Luz</v>
      </c>
      <c r="D942" t="str">
        <f>"PENSIONISTA DE PROFESSOR"</f>
        <v>PENSIONISTA DE PROFESSOR</v>
      </c>
      <c r="E942" t="str">
        <f>"Pensionista"</f>
        <v>Pensionista</v>
      </c>
      <c r="F942" t="str">
        <f>"R$ 2.071,51"</f>
        <v>R$ 2.071,51</v>
      </c>
      <c r="G942" t="str">
        <f>"R$ 2.485,81"</f>
        <v>R$ 2.485,81</v>
      </c>
      <c r="H942" t="str">
        <f t="shared" si="82"/>
        <v>R$ 0,00</v>
      </c>
      <c r="I942" t="str">
        <f>"R$ 2.485,81"</f>
        <v>R$ 2.485,81</v>
      </c>
      <c r="J942" t="str">
        <f>"R$ 1.272,31"</f>
        <v>R$ 1.272,31</v>
      </c>
      <c r="K942" t="str">
        <f>"R$ 1.213,50"</f>
        <v>R$ 1.213,50</v>
      </c>
    </row>
    <row r="943" spans="1:11" x14ac:dyDescent="0.25">
      <c r="A943" t="str">
        <f>"00276073 / 1"</f>
        <v>00276073 / 1</v>
      </c>
      <c r="B943" t="str">
        <f>"Folha Mensal"</f>
        <v>Folha Mensal</v>
      </c>
      <c r="C943" t="str">
        <f>"Marcio Augusto Palheta Luz"</f>
        <v>Marcio Augusto Palheta Luz</v>
      </c>
      <c r="D943" t="str">
        <f>"PENSIONISTA DE PROFESSOR"</f>
        <v>PENSIONISTA DE PROFESSOR</v>
      </c>
      <c r="E943" t="str">
        <f>"Pensionista"</f>
        <v>Pensionista</v>
      </c>
      <c r="F943" t="str">
        <f>"R$ 2.071,51"</f>
        <v>R$ 2.071,51</v>
      </c>
      <c r="G943" t="str">
        <f>"R$ 2.485,81"</f>
        <v>R$ 2.485,81</v>
      </c>
      <c r="H943" t="str">
        <f t="shared" si="82"/>
        <v>R$ 0,00</v>
      </c>
      <c r="I943" t="str">
        <f>"R$ 2.485,81"</f>
        <v>R$ 2.485,81</v>
      </c>
      <c r="J943" t="str">
        <f>"R$ 745,02"</f>
        <v>R$ 745,02</v>
      </c>
      <c r="K943" t="str">
        <f>"R$ 1.740,79"</f>
        <v>R$ 1.740,79</v>
      </c>
    </row>
    <row r="944" spans="1:11" x14ac:dyDescent="0.25">
      <c r="A944" t="str">
        <f>"03641783 / 1"</f>
        <v>03641783 / 1</v>
      </c>
      <c r="B944" t="str">
        <f>"13° Salário Anual"</f>
        <v>13° Salário Anual</v>
      </c>
      <c r="C944" t="str">
        <f>"Marcos Lira de Lima"</f>
        <v>Marcos Lira de Lima</v>
      </c>
      <c r="D944" t="str">
        <f>"COORDENADOR INFORMATICA"</f>
        <v>COORDENADOR INFORMATICA</v>
      </c>
      <c r="E944" t="str">
        <f>"Comissionado"</f>
        <v>Comissionado</v>
      </c>
      <c r="F944" t="str">
        <f>"R$ 3.154,55"</f>
        <v>R$ 3.154,55</v>
      </c>
      <c r="G944" t="str">
        <f>"R$ 3.154,55"</f>
        <v>R$ 3.154,55</v>
      </c>
      <c r="H944" t="str">
        <f t="shared" si="82"/>
        <v>R$ 0,00</v>
      </c>
      <c r="I944" t="str">
        <f>"R$ 3.154,55"</f>
        <v>R$ 3.154,55</v>
      </c>
      <c r="J944" t="str">
        <f>"R$ 1.308,43"</f>
        <v>R$ 1.308,43</v>
      </c>
      <c r="K944" t="str">
        <f>"R$ 1.846,12"</f>
        <v>R$ 1.846,12</v>
      </c>
    </row>
    <row r="945" spans="1:11" x14ac:dyDescent="0.25">
      <c r="A945" t="str">
        <f>"03641783 / 1"</f>
        <v>03641783 / 1</v>
      </c>
      <c r="B945" t="str">
        <f>"Folha Mensal"</f>
        <v>Folha Mensal</v>
      </c>
      <c r="C945" t="str">
        <f>"Marcos Lira de Lima"</f>
        <v>Marcos Lira de Lima</v>
      </c>
      <c r="D945" t="str">
        <f>"COORDENADOR INFORMATICA"</f>
        <v>COORDENADOR INFORMATICA</v>
      </c>
      <c r="E945" t="str">
        <f>"Comissionado"</f>
        <v>Comissionado</v>
      </c>
      <c r="F945" t="str">
        <f>"R$ 3.154,55"</f>
        <v>R$ 3.154,55</v>
      </c>
      <c r="G945" t="str">
        <f>"R$ 3.154,55"</f>
        <v>R$ 3.154,55</v>
      </c>
      <c r="H945" t="str">
        <f>"R$ 288,00"</f>
        <v>R$ 288,00</v>
      </c>
      <c r="I945" t="str">
        <f>"R$ 3.442,55"</f>
        <v>R$ 3.442,55</v>
      </c>
      <c r="J945" t="str">
        <f>"R$ 485,20"</f>
        <v>R$ 485,20</v>
      </c>
      <c r="K945" t="str">
        <f>"R$ 2.957,35"</f>
        <v>R$ 2.957,35</v>
      </c>
    </row>
    <row r="946" spans="1:11" x14ac:dyDescent="0.25">
      <c r="A946" t="str">
        <f>"03640647 / 1"</f>
        <v>03640647 / 1</v>
      </c>
      <c r="B946" t="str">
        <f>"13° Salário Anual"</f>
        <v>13° Salário Anual</v>
      </c>
      <c r="C946" t="str">
        <f>"Marcus Vinicius da Silva Dias"</f>
        <v>Marcus Vinicius da Silva Dias</v>
      </c>
      <c r="D946" t="str">
        <f>"DAS 03 B"</f>
        <v>DAS 03 B</v>
      </c>
      <c r="E946" t="str">
        <f>"Comissionado"</f>
        <v>Comissionado</v>
      </c>
      <c r="F946" t="str">
        <f>"R$ 1.404,28"</f>
        <v>R$ 1.404,28</v>
      </c>
      <c r="G946" t="str">
        <f>"R$ 1.287,25"</f>
        <v>R$ 1.287,25</v>
      </c>
      <c r="H946" t="str">
        <f t="shared" ref="H946:H1009" si="83">"R$ 0,00"</f>
        <v>R$ 0,00</v>
      </c>
      <c r="I946" t="str">
        <f>"R$ 1.287,25"</f>
        <v>R$ 1.287,25</v>
      </c>
      <c r="J946" t="str">
        <f>"R$ 742,97"</f>
        <v>R$ 742,97</v>
      </c>
      <c r="K946" t="str">
        <f>"R$ 544,28"</f>
        <v>R$ 544,28</v>
      </c>
    </row>
    <row r="947" spans="1:11" x14ac:dyDescent="0.25">
      <c r="A947" t="str">
        <f>"03640647 / 1"</f>
        <v>03640647 / 1</v>
      </c>
      <c r="B947" t="str">
        <f>"Folha Mensal"</f>
        <v>Folha Mensal</v>
      </c>
      <c r="C947" t="str">
        <f>"Marcus Vinicius da Silva Dias"</f>
        <v>Marcus Vinicius da Silva Dias</v>
      </c>
      <c r="D947" t="str">
        <f>"DAS 03 B"</f>
        <v>DAS 03 B</v>
      </c>
      <c r="E947" t="str">
        <f>"Comissionado"</f>
        <v>Comissionado</v>
      </c>
      <c r="F947" t="str">
        <f>"R$ 1.404,28"</f>
        <v>R$ 1.404,28</v>
      </c>
      <c r="G947" t="str">
        <f>"R$ 1.404,28"</f>
        <v>R$ 1.404,28</v>
      </c>
      <c r="H947" t="str">
        <f t="shared" si="83"/>
        <v>R$ 0,00</v>
      </c>
      <c r="I947" t="str">
        <f>"R$ 1.404,28"</f>
        <v>R$ 1.404,28</v>
      </c>
      <c r="J947" t="str">
        <f>"R$ 109,88"</f>
        <v>R$ 109,88</v>
      </c>
      <c r="K947" t="str">
        <f>"R$ 1.294,40"</f>
        <v>R$ 1.294,40</v>
      </c>
    </row>
    <row r="948" spans="1:11" x14ac:dyDescent="0.25">
      <c r="A948" t="str">
        <f>"00052752 / 1"</f>
        <v>00052752 / 1</v>
      </c>
      <c r="B948" t="str">
        <f>"13° Salário Anual"</f>
        <v>13° Salário Anual</v>
      </c>
      <c r="C948" t="str">
        <f>"Margarete Santos da Silva"</f>
        <v>Margarete Santos da Silva</v>
      </c>
      <c r="D948" t="str">
        <f>"PROFESSOR NIVEL III"</f>
        <v>PROFESSOR NIVEL III</v>
      </c>
      <c r="E948" t="str">
        <f>"Efetivo-Inativos II-RJUSM"</f>
        <v>Efetivo-Inativos II-RJUSM</v>
      </c>
      <c r="F948" t="str">
        <f>"R$ 4.780,39"</f>
        <v>R$ 4.780,39</v>
      </c>
      <c r="G948" t="str">
        <f>"R$ 5.975,48"</f>
        <v>R$ 5.975,48</v>
      </c>
      <c r="H948" t="str">
        <f t="shared" si="83"/>
        <v>R$ 0,00</v>
      </c>
      <c r="I948" t="str">
        <f>"R$ 5.975,48"</f>
        <v>R$ 5.975,48</v>
      </c>
      <c r="J948" t="str">
        <f>"R$ 3.761,63"</f>
        <v>R$ 3.761,63</v>
      </c>
      <c r="K948" t="str">
        <f>"R$ 2.213,85"</f>
        <v>R$ 2.213,85</v>
      </c>
    </row>
    <row r="949" spans="1:11" x14ac:dyDescent="0.25">
      <c r="A949" t="str">
        <f>"00052752 / 1"</f>
        <v>00052752 / 1</v>
      </c>
      <c r="B949" t="str">
        <f>"Folha Mensal"</f>
        <v>Folha Mensal</v>
      </c>
      <c r="C949" t="str">
        <f>"Margarete Santos da Silva"</f>
        <v>Margarete Santos da Silva</v>
      </c>
      <c r="D949" t="str">
        <f>"PROFESSOR NIVEL III"</f>
        <v>PROFESSOR NIVEL III</v>
      </c>
      <c r="E949" t="str">
        <f>"Efetivo-Inativos II-RJUSM"</f>
        <v>Efetivo-Inativos II-RJUSM</v>
      </c>
      <c r="F949" t="str">
        <f>"R$ 4.780,39"</f>
        <v>R$ 4.780,39</v>
      </c>
      <c r="G949" t="str">
        <f>"R$ 5.975,48"</f>
        <v>R$ 5.975,48</v>
      </c>
      <c r="H949" t="str">
        <f t="shared" si="83"/>
        <v>R$ 0,00</v>
      </c>
      <c r="I949" t="str">
        <f>"R$ 5.975,48"</f>
        <v>R$ 5.975,48</v>
      </c>
      <c r="J949" t="str">
        <f>"R$ 1.880,99"</f>
        <v>R$ 1.880,99</v>
      </c>
      <c r="K949" t="str">
        <f>"R$ 4.094,49"</f>
        <v>R$ 4.094,49</v>
      </c>
    </row>
    <row r="950" spans="1:11" x14ac:dyDescent="0.25">
      <c r="A950" t="str">
        <f>"03642682 / 1"</f>
        <v>03642682 / 1</v>
      </c>
      <c r="B950" t="str">
        <f>"13° Salário Anual"</f>
        <v>13° Salário Anual</v>
      </c>
      <c r="C950" t="str">
        <f>"Margarida da Silva Ferreira"</f>
        <v>Margarida da Silva Ferreira</v>
      </c>
      <c r="D950" t="str">
        <f>"PENSIONISTA"</f>
        <v>PENSIONISTA</v>
      </c>
      <c r="E950" t="str">
        <f>"Pensionista"</f>
        <v>Pensionista</v>
      </c>
      <c r="F950" t="str">
        <f>"R$ 3.300,00"</f>
        <v>R$ 3.300,00</v>
      </c>
      <c r="G950" t="str">
        <f>"R$ 3.300,00"</f>
        <v>R$ 3.300,00</v>
      </c>
      <c r="H950" t="str">
        <f t="shared" si="83"/>
        <v>R$ 0,00</v>
      </c>
      <c r="I950" t="str">
        <f>"R$ 3.300,00"</f>
        <v>R$ 3.300,00</v>
      </c>
      <c r="J950" t="str">
        <f>"R$ 1.650,00"</f>
        <v>R$ 1.650,00</v>
      </c>
      <c r="K950" t="str">
        <f>"R$ 1.650,00"</f>
        <v>R$ 1.650,00</v>
      </c>
    </row>
    <row r="951" spans="1:11" x14ac:dyDescent="0.25">
      <c r="A951" t="str">
        <f>"03642682 / 1"</f>
        <v>03642682 / 1</v>
      </c>
      <c r="B951" t="str">
        <f>"Folha Mensal"</f>
        <v>Folha Mensal</v>
      </c>
      <c r="C951" t="str">
        <f>"Margarida da Silva Ferreira"</f>
        <v>Margarida da Silva Ferreira</v>
      </c>
      <c r="D951" t="str">
        <f>"PENSIONISTA"</f>
        <v>PENSIONISTA</v>
      </c>
      <c r="E951" t="str">
        <f>"Pensionista"</f>
        <v>Pensionista</v>
      </c>
      <c r="F951" t="str">
        <f>"R$ 3.300,00"</f>
        <v>R$ 3.300,00</v>
      </c>
      <c r="G951" t="str">
        <f>"R$ 3.300,00"</f>
        <v>R$ 3.300,00</v>
      </c>
      <c r="H951" t="str">
        <f t="shared" si="83"/>
        <v>R$ 0,00</v>
      </c>
      <c r="I951" t="str">
        <f>"R$ 3.300,00"</f>
        <v>R$ 3.300,00</v>
      </c>
      <c r="J951" t="str">
        <f>"R$ 0,00"</f>
        <v>R$ 0,00</v>
      </c>
      <c r="K951" t="str">
        <f>"R$ 3.300,00"</f>
        <v>R$ 3.300,00</v>
      </c>
    </row>
    <row r="952" spans="1:11" x14ac:dyDescent="0.25">
      <c r="A952" t="str">
        <f>"00319651 / 3"</f>
        <v>00319651 / 3</v>
      </c>
      <c r="B952" t="str">
        <f>"13° Salário Anual"</f>
        <v>13° Salário Anual</v>
      </c>
      <c r="C952" t="str">
        <f>"Margarida de Nazare Ferreira"</f>
        <v>Margarida de Nazare Ferreira</v>
      </c>
      <c r="D952" t="str">
        <f>"PROFESSOR"</f>
        <v>PROFESSOR</v>
      </c>
      <c r="E952" t="str">
        <f>"Efetivo-Inativo I- RJUSM"</f>
        <v>Efetivo-Inativo I- RJUSM</v>
      </c>
      <c r="F952" t="str">
        <f>"R$ 5.736,46"</f>
        <v>R$ 5.736,46</v>
      </c>
      <c r="G952" t="str">
        <f>"R$ 7.170,57"</f>
        <v>R$ 7.170,57</v>
      </c>
      <c r="H952" t="str">
        <f t="shared" si="83"/>
        <v>R$ 0,00</v>
      </c>
      <c r="I952" t="str">
        <f>"R$ 7.170,57"</f>
        <v>R$ 7.170,57</v>
      </c>
      <c r="J952" t="str">
        <f>"R$ 4.272,78"</f>
        <v>R$ 4.272,78</v>
      </c>
      <c r="K952" t="str">
        <f>"R$ 2.897,79"</f>
        <v>R$ 2.897,79</v>
      </c>
    </row>
    <row r="953" spans="1:11" x14ac:dyDescent="0.25">
      <c r="A953" t="str">
        <f>"00319651 / 3"</f>
        <v>00319651 / 3</v>
      </c>
      <c r="B953" t="str">
        <f>"Folha Mensal"</f>
        <v>Folha Mensal</v>
      </c>
      <c r="C953" t="str">
        <f>"Margarida de Nazare Ferreira"</f>
        <v>Margarida de Nazare Ferreira</v>
      </c>
      <c r="D953" t="str">
        <f>"PROFESSOR"</f>
        <v>PROFESSOR</v>
      </c>
      <c r="E953" t="str">
        <f>"Efetivo-Inativo I- RJUSM"</f>
        <v>Efetivo-Inativo I- RJUSM</v>
      </c>
      <c r="F953" t="str">
        <f>"R$ 5.736,46"</f>
        <v>R$ 5.736,46</v>
      </c>
      <c r="G953" t="str">
        <f>"R$ 7.170,57"</f>
        <v>R$ 7.170,57</v>
      </c>
      <c r="H953" t="str">
        <f t="shared" si="83"/>
        <v>R$ 0,00</v>
      </c>
      <c r="I953" t="str">
        <f>"R$ 7.170,57"</f>
        <v>R$ 7.170,57</v>
      </c>
      <c r="J953" t="str">
        <f>"R$ 2.105,23"</f>
        <v>R$ 2.105,23</v>
      </c>
      <c r="K953" t="str">
        <f>"R$ 5.065,34"</f>
        <v>R$ 5.065,34</v>
      </c>
    </row>
    <row r="954" spans="1:11" x14ac:dyDescent="0.25">
      <c r="A954" t="str">
        <f>"00265608 / 1"</f>
        <v>00265608 / 1</v>
      </c>
      <c r="B954" t="str">
        <f>"13° Salário Anual"</f>
        <v>13° Salário Anual</v>
      </c>
      <c r="C954" t="str">
        <f>"Margarida Maria dos Santos Ramos"</f>
        <v>Margarida Maria dos Santos Ramos</v>
      </c>
      <c r="D954" t="str">
        <f>"AG COMUNIT DE SAUDE"</f>
        <v>AG COMUNIT DE SAUDE</v>
      </c>
      <c r="E954" t="str">
        <f t="shared" ref="E954:E959" si="84">"Efetivo-Inativos II-RJUSM"</f>
        <v>Efetivo-Inativos II-RJUSM</v>
      </c>
      <c r="F954" t="str">
        <f>"R$ 1.550,00"</f>
        <v>R$ 1.550,00</v>
      </c>
      <c r="G954" t="str">
        <f>"R$ 1.627,50"</f>
        <v>R$ 1.627,50</v>
      </c>
      <c r="H954" t="str">
        <f t="shared" si="83"/>
        <v>R$ 0,00</v>
      </c>
      <c r="I954" t="str">
        <f>"R$ 1.627,50"</f>
        <v>R$ 1.627,50</v>
      </c>
      <c r="J954" t="str">
        <f>"R$ 813,75"</f>
        <v>R$ 813,75</v>
      </c>
      <c r="K954" t="str">
        <f>"R$ 813,75"</f>
        <v>R$ 813,75</v>
      </c>
    </row>
    <row r="955" spans="1:11" x14ac:dyDescent="0.25">
      <c r="A955" t="str">
        <f>"00265608 / 1"</f>
        <v>00265608 / 1</v>
      </c>
      <c r="B955" t="str">
        <f>"Folha Mensal"</f>
        <v>Folha Mensal</v>
      </c>
      <c r="C955" t="str">
        <f>"Margarida Maria dos Santos Ramos"</f>
        <v>Margarida Maria dos Santos Ramos</v>
      </c>
      <c r="D955" t="str">
        <f>"AG COMUNIT DE SAUDE"</f>
        <v>AG COMUNIT DE SAUDE</v>
      </c>
      <c r="E955" t="str">
        <f t="shared" si="84"/>
        <v>Efetivo-Inativos II-RJUSM</v>
      </c>
      <c r="F955" t="str">
        <f>"R$ 1.550,00"</f>
        <v>R$ 1.550,00</v>
      </c>
      <c r="G955" t="str">
        <f>"R$ 1.627,50"</f>
        <v>R$ 1.627,50</v>
      </c>
      <c r="H955" t="str">
        <f t="shared" si="83"/>
        <v>R$ 0,00</v>
      </c>
      <c r="I955" t="str">
        <f>"R$ 1.627,50"</f>
        <v>R$ 1.627,50</v>
      </c>
      <c r="J955" t="str">
        <f>"R$ 0,00"</f>
        <v>R$ 0,00</v>
      </c>
      <c r="K955" t="str">
        <f>"R$ 1.627,50"</f>
        <v>R$ 1.627,50</v>
      </c>
    </row>
    <row r="956" spans="1:11" x14ac:dyDescent="0.25">
      <c r="A956" t="str">
        <f>"00028339 / 2"</f>
        <v>00028339 / 2</v>
      </c>
      <c r="B956" t="str">
        <f>"13° Salário Anual"</f>
        <v>13° Salário Anual</v>
      </c>
      <c r="C956" t="str">
        <f>"Margarida Moraes da Cruz"</f>
        <v>Margarida Moraes da Cruz</v>
      </c>
      <c r="D956" t="str">
        <f>"INT TEMP CONTRIBUICAO"</f>
        <v>INT TEMP CONTRIBUICAO</v>
      </c>
      <c r="E956" t="str">
        <f t="shared" si="84"/>
        <v>Efetivo-Inativos II-RJUSM</v>
      </c>
      <c r="F956" t="str">
        <f>"R$ 1.100,00"</f>
        <v>R$ 1.100,00</v>
      </c>
      <c r="G956" t="str">
        <f>"R$ 1.430,00"</f>
        <v>R$ 1.430,00</v>
      </c>
      <c r="H956" t="str">
        <f t="shared" si="83"/>
        <v>R$ 0,00</v>
      </c>
      <c r="I956" t="str">
        <f>"R$ 1.430,00"</f>
        <v>R$ 1.430,00</v>
      </c>
      <c r="J956" t="str">
        <f>"R$ 715,00"</f>
        <v>R$ 715,00</v>
      </c>
      <c r="K956" t="str">
        <f>"R$ 715,00"</f>
        <v>R$ 715,00</v>
      </c>
    </row>
    <row r="957" spans="1:11" x14ac:dyDescent="0.25">
      <c r="A957" t="str">
        <f>"00028339 / 2"</f>
        <v>00028339 / 2</v>
      </c>
      <c r="B957" t="str">
        <f>"Folha Mensal"</f>
        <v>Folha Mensal</v>
      </c>
      <c r="C957" t="str">
        <f>"Margarida Moraes da Cruz"</f>
        <v>Margarida Moraes da Cruz</v>
      </c>
      <c r="D957" t="str">
        <f>"INT TEMP CONTRIBUICAO"</f>
        <v>INT TEMP CONTRIBUICAO</v>
      </c>
      <c r="E957" t="str">
        <f t="shared" si="84"/>
        <v>Efetivo-Inativos II-RJUSM</v>
      </c>
      <c r="F957" t="str">
        <f>"R$ 1.100,00"</f>
        <v>R$ 1.100,00</v>
      </c>
      <c r="G957" t="str">
        <f>"R$ 1.430,00"</f>
        <v>R$ 1.430,00</v>
      </c>
      <c r="H957" t="str">
        <f t="shared" si="83"/>
        <v>R$ 0,00</v>
      </c>
      <c r="I957" t="str">
        <f>"R$ 1.430,00"</f>
        <v>R$ 1.430,00</v>
      </c>
      <c r="J957" t="str">
        <f>"R$ 821,39"</f>
        <v>R$ 821,39</v>
      </c>
      <c r="K957" t="str">
        <f>"R$ 608,61"</f>
        <v>R$ 608,61</v>
      </c>
    </row>
    <row r="958" spans="1:11" x14ac:dyDescent="0.25">
      <c r="A958" t="str">
        <f>"00026522 / 1"</f>
        <v>00026522 / 1</v>
      </c>
      <c r="B958" t="str">
        <f>"13° Salário Anual"</f>
        <v>13° Salário Anual</v>
      </c>
      <c r="C958" t="str">
        <f>"Margarida Pontes do Espirito Santo"</f>
        <v>Margarida Pontes do Espirito Santo</v>
      </c>
      <c r="D958" t="str">
        <f>"PROFESSOR NIVEL II"</f>
        <v>PROFESSOR NIVEL II</v>
      </c>
      <c r="E958" t="str">
        <f t="shared" si="84"/>
        <v>Efetivo-Inativos II-RJUSM</v>
      </c>
      <c r="F958" t="str">
        <f>"R$ 5.577,14"</f>
        <v>R$ 5.577,14</v>
      </c>
      <c r="G958" t="str">
        <f>"R$ 6.971,42"</f>
        <v>R$ 6.971,42</v>
      </c>
      <c r="H958" t="str">
        <f t="shared" si="83"/>
        <v>R$ 0,00</v>
      </c>
      <c r="I958" t="str">
        <f>"R$ 6.971,42"</f>
        <v>R$ 6.971,42</v>
      </c>
      <c r="J958" t="str">
        <f>"R$ 4.621,83"</f>
        <v>R$ 4.621,83</v>
      </c>
      <c r="K958" t="str">
        <f>"R$ 2.349,59"</f>
        <v>R$ 2.349,59</v>
      </c>
    </row>
    <row r="959" spans="1:11" x14ac:dyDescent="0.25">
      <c r="A959" t="str">
        <f>"00026522 / 1"</f>
        <v>00026522 / 1</v>
      </c>
      <c r="B959" t="str">
        <f>"Folha Mensal"</f>
        <v>Folha Mensal</v>
      </c>
      <c r="C959" t="str">
        <f>"Margarida Pontes do Espirito Santo"</f>
        <v>Margarida Pontes do Espirito Santo</v>
      </c>
      <c r="D959" t="str">
        <f>"PROFESSOR NIVEL II"</f>
        <v>PROFESSOR NIVEL II</v>
      </c>
      <c r="E959" t="str">
        <f t="shared" si="84"/>
        <v>Efetivo-Inativos II-RJUSM</v>
      </c>
      <c r="F959" t="str">
        <f>"R$ 5.577,14"</f>
        <v>R$ 5.577,14</v>
      </c>
      <c r="G959" t="str">
        <f>"R$ 6.971,42"</f>
        <v>R$ 6.971,42</v>
      </c>
      <c r="H959" t="str">
        <f t="shared" si="83"/>
        <v>R$ 0,00</v>
      </c>
      <c r="I959" t="str">
        <f>"R$ 6.971,42"</f>
        <v>R$ 6.971,42</v>
      </c>
      <c r="J959" t="str">
        <f>"R$ 2.878,14"</f>
        <v>R$ 2.878,14</v>
      </c>
      <c r="K959" t="str">
        <f>"R$ 4.093,28"</f>
        <v>R$ 4.093,28</v>
      </c>
    </row>
    <row r="960" spans="1:11" x14ac:dyDescent="0.25">
      <c r="A960" t="str">
        <f>"00010626 / 1"</f>
        <v>00010626 / 1</v>
      </c>
      <c r="B960" t="str">
        <f>"13° Salário Anual"</f>
        <v>13° Salário Anual</v>
      </c>
      <c r="C960" t="str">
        <f>"Maria Alice Soares Araujo"</f>
        <v>Maria Alice Soares Araujo</v>
      </c>
      <c r="D960" t="str">
        <f>"PROFESSOR"</f>
        <v>PROFESSOR</v>
      </c>
      <c r="E960" t="str">
        <f>"Efetivo-Inativo I- RJUSM"</f>
        <v>Efetivo-Inativo I- RJUSM</v>
      </c>
      <c r="F960" t="str">
        <f>"R$ 2.071,51"</f>
        <v>R$ 2.071,51</v>
      </c>
      <c r="G960" t="str">
        <f>"R$ 2.589,38"</f>
        <v>R$ 2.589,38</v>
      </c>
      <c r="H960" t="str">
        <f t="shared" si="83"/>
        <v>R$ 0,00</v>
      </c>
      <c r="I960" t="str">
        <f>"R$ 2.589,38"</f>
        <v>R$ 2.589,38</v>
      </c>
      <c r="J960" t="str">
        <f>"R$ 1.346,09"</f>
        <v>R$ 1.346,09</v>
      </c>
      <c r="K960" t="str">
        <f>"R$ 1.243,29"</f>
        <v>R$ 1.243,29</v>
      </c>
    </row>
    <row r="961" spans="1:11" x14ac:dyDescent="0.25">
      <c r="A961" t="str">
        <f>"00010626 / 1"</f>
        <v>00010626 / 1</v>
      </c>
      <c r="B961" t="str">
        <f>"Folha Mensal"</f>
        <v>Folha Mensal</v>
      </c>
      <c r="C961" t="str">
        <f>"Maria Alice Soares Araujo"</f>
        <v>Maria Alice Soares Araujo</v>
      </c>
      <c r="D961" t="str">
        <f>"PROFESSOR"</f>
        <v>PROFESSOR</v>
      </c>
      <c r="E961" t="str">
        <f>"Efetivo-Inativo I- RJUSM"</f>
        <v>Efetivo-Inativo I- RJUSM</v>
      </c>
      <c r="F961" t="str">
        <f>"R$ 2.071,51"</f>
        <v>R$ 2.071,51</v>
      </c>
      <c r="G961" t="str">
        <f>"R$ 2.589,38"</f>
        <v>R$ 2.589,38</v>
      </c>
      <c r="H961" t="str">
        <f t="shared" si="83"/>
        <v>R$ 0,00</v>
      </c>
      <c r="I961" t="str">
        <f>"R$ 2.589,38"</f>
        <v>R$ 2.589,38</v>
      </c>
      <c r="J961" t="str">
        <f>"R$ 805,08"</f>
        <v>R$ 805,08</v>
      </c>
      <c r="K961" t="str">
        <f>"R$ 1.784,30"</f>
        <v>R$ 1.784,30</v>
      </c>
    </row>
    <row r="962" spans="1:11" x14ac:dyDescent="0.25">
      <c r="A962" t="str">
        <f>"03642046 / 1"</f>
        <v>03642046 / 1</v>
      </c>
      <c r="B962" t="str">
        <f>"13° Salário Anual"</f>
        <v>13° Salário Anual</v>
      </c>
      <c r="C962" t="str">
        <f>"Maria Antonia da Silva Neves"</f>
        <v>Maria Antonia da Silva Neves</v>
      </c>
      <c r="D962" t="str">
        <f>"PENSIONISTA"</f>
        <v>PENSIONISTA</v>
      </c>
      <c r="E962" t="str">
        <f>"Pensionista"</f>
        <v>Pensionista</v>
      </c>
      <c r="F962" t="str">
        <f>"R$ 366,67"</f>
        <v>R$ 366,67</v>
      </c>
      <c r="G962" t="str">
        <f>"R$ 385,00"</f>
        <v>R$ 385,00</v>
      </c>
      <c r="H962" t="str">
        <f t="shared" si="83"/>
        <v>R$ 0,00</v>
      </c>
      <c r="I962" t="str">
        <f>"R$ 385,00"</f>
        <v>R$ 385,00</v>
      </c>
      <c r="J962" t="str">
        <f>"R$ 192,50"</f>
        <v>R$ 192,50</v>
      </c>
      <c r="K962" t="str">
        <f>"R$ 192,50"</f>
        <v>R$ 192,50</v>
      </c>
    </row>
    <row r="963" spans="1:11" x14ac:dyDescent="0.25">
      <c r="A963" t="str">
        <f>"03642046 / 1"</f>
        <v>03642046 / 1</v>
      </c>
      <c r="B963" t="str">
        <f>"Folha Mensal"</f>
        <v>Folha Mensal</v>
      </c>
      <c r="C963" t="str">
        <f>"Maria Antonia da Silva Neves"</f>
        <v>Maria Antonia da Silva Neves</v>
      </c>
      <c r="D963" t="str">
        <f>"PENSIONISTA"</f>
        <v>PENSIONISTA</v>
      </c>
      <c r="E963" t="str">
        <f>"Pensionista"</f>
        <v>Pensionista</v>
      </c>
      <c r="F963" t="str">
        <f>"R$ 366,67"</f>
        <v>R$ 366,67</v>
      </c>
      <c r="G963" t="str">
        <f>"R$ 385,00"</f>
        <v>R$ 385,00</v>
      </c>
      <c r="H963" t="str">
        <f t="shared" si="83"/>
        <v>R$ 0,00</v>
      </c>
      <c r="I963" t="str">
        <f>"R$ 385,00"</f>
        <v>R$ 385,00</v>
      </c>
      <c r="J963" t="str">
        <f>"R$ 129,19"</f>
        <v>R$ 129,19</v>
      </c>
      <c r="K963" t="str">
        <f>"R$ 255,81"</f>
        <v>R$ 255,81</v>
      </c>
    </row>
    <row r="964" spans="1:11" x14ac:dyDescent="0.25">
      <c r="A964" t="str">
        <f>"00026239 / 2"</f>
        <v>00026239 / 2</v>
      </c>
      <c r="B964" t="str">
        <f>"13° Salário Anual"</f>
        <v>13° Salário Anual</v>
      </c>
      <c r="C964" t="str">
        <f>"Maria Antonia Macedo de Melo"</f>
        <v>Maria Antonia Macedo de Melo</v>
      </c>
      <c r="D964" t="str">
        <f>"PROFESSOR NIVEL II"</f>
        <v>PROFESSOR NIVEL II</v>
      </c>
      <c r="E964" t="str">
        <f>"Efetivo-Inativo I- RJUSM"</f>
        <v>Efetivo-Inativo I- RJUSM</v>
      </c>
      <c r="F964" t="str">
        <f>"R$ 2.071,51"</f>
        <v>R$ 2.071,51</v>
      </c>
      <c r="G964" t="str">
        <f>"R$ 2.692,96"</f>
        <v>R$ 2.692,96</v>
      </c>
      <c r="H964" t="str">
        <f t="shared" si="83"/>
        <v>R$ 0,00</v>
      </c>
      <c r="I964" t="str">
        <f>"R$ 2.692,96"</f>
        <v>R$ 2.692,96</v>
      </c>
      <c r="J964" t="str">
        <f>"R$ 1.405,65"</f>
        <v>R$ 1.405,65</v>
      </c>
      <c r="K964" t="str">
        <f>"R$ 1.287,31"</f>
        <v>R$ 1.287,31</v>
      </c>
    </row>
    <row r="965" spans="1:11" x14ac:dyDescent="0.25">
      <c r="A965" t="str">
        <f>"00026239 / 2"</f>
        <v>00026239 / 2</v>
      </c>
      <c r="B965" t="str">
        <f>"Folha Mensal"</f>
        <v>Folha Mensal</v>
      </c>
      <c r="C965" t="str">
        <f>"Maria Antonia Macedo de Melo"</f>
        <v>Maria Antonia Macedo de Melo</v>
      </c>
      <c r="D965" t="str">
        <f>"PROFESSOR NIVEL II"</f>
        <v>PROFESSOR NIVEL II</v>
      </c>
      <c r="E965" t="str">
        <f>"Efetivo-Inativo I- RJUSM"</f>
        <v>Efetivo-Inativo I- RJUSM</v>
      </c>
      <c r="F965" t="str">
        <f>"R$ 2.071,51"</f>
        <v>R$ 2.071,51</v>
      </c>
      <c r="G965" t="str">
        <f>"R$ 2.692,96"</f>
        <v>R$ 2.692,96</v>
      </c>
      <c r="H965" t="str">
        <f t="shared" si="83"/>
        <v>R$ 0,00</v>
      </c>
      <c r="I965" t="str">
        <f>"R$ 2.692,96"</f>
        <v>R$ 2.692,96</v>
      </c>
      <c r="J965" t="str">
        <f>"R$ 1.104,60"</f>
        <v>R$ 1.104,60</v>
      </c>
      <c r="K965" t="str">
        <f>"R$ 1.588,36"</f>
        <v>R$ 1.588,36</v>
      </c>
    </row>
    <row r="966" spans="1:11" x14ac:dyDescent="0.25">
      <c r="A966" t="str">
        <f>"00005614 / 1"</f>
        <v>00005614 / 1</v>
      </c>
      <c r="B966" t="str">
        <f>"13° Salário Anual"</f>
        <v>13° Salário Anual</v>
      </c>
      <c r="C966" t="str">
        <f>"Maria Antonia Souza de Brito"</f>
        <v>Maria Antonia Souza de Brito</v>
      </c>
      <c r="D966" t="str">
        <f>"PROFESSOR"</f>
        <v>PROFESSOR</v>
      </c>
      <c r="E966" t="str">
        <f>"Efetivo-Inativo I- RJUSM"</f>
        <v>Efetivo-Inativo I- RJUSM</v>
      </c>
      <c r="F966" t="str">
        <f>"R$ 1.593,46"</f>
        <v>R$ 1.593,46</v>
      </c>
      <c r="G966" t="str">
        <f>"R$ 1.991,82"</f>
        <v>R$ 1.991,82</v>
      </c>
      <c r="H966" t="str">
        <f t="shared" si="83"/>
        <v>R$ 0,00</v>
      </c>
      <c r="I966" t="str">
        <f>"R$ 1.991,82"</f>
        <v>R$ 1.991,82</v>
      </c>
      <c r="J966" t="str">
        <f>"R$ 995,91"</f>
        <v>R$ 995,91</v>
      </c>
      <c r="K966" t="str">
        <f>"R$ 995,91"</f>
        <v>R$ 995,91</v>
      </c>
    </row>
    <row r="967" spans="1:11" x14ac:dyDescent="0.25">
      <c r="A967" t="str">
        <f>"00005614 / 1"</f>
        <v>00005614 / 1</v>
      </c>
      <c r="B967" t="str">
        <f>"Folha Mensal"</f>
        <v>Folha Mensal</v>
      </c>
      <c r="C967" t="str">
        <f>"Maria Antonia Souza de Brito"</f>
        <v>Maria Antonia Souza de Brito</v>
      </c>
      <c r="D967" t="str">
        <f>"PROFESSOR"</f>
        <v>PROFESSOR</v>
      </c>
      <c r="E967" t="str">
        <f>"Efetivo-Inativo I- RJUSM"</f>
        <v>Efetivo-Inativo I- RJUSM</v>
      </c>
      <c r="F967" t="str">
        <f>"R$ 1.593,46"</f>
        <v>R$ 1.593,46</v>
      </c>
      <c r="G967" t="str">
        <f>"R$ 1.991,82"</f>
        <v>R$ 1.991,82</v>
      </c>
      <c r="H967" t="str">
        <f t="shared" si="83"/>
        <v>R$ 0,00</v>
      </c>
      <c r="I967" t="str">
        <f>"R$ 1.991,82"</f>
        <v>R$ 1.991,82</v>
      </c>
      <c r="J967" t="str">
        <f>"R$ 0,00"</f>
        <v>R$ 0,00</v>
      </c>
      <c r="K967" t="str">
        <f>"R$ 1.991,82"</f>
        <v>R$ 1.991,82</v>
      </c>
    </row>
    <row r="968" spans="1:11" x14ac:dyDescent="0.25">
      <c r="A968" t="str">
        <f>"00070840 / 1"</f>
        <v>00070840 / 1</v>
      </c>
      <c r="B968" t="str">
        <f>"13° Salário Anual"</f>
        <v>13° Salário Anual</v>
      </c>
      <c r="C968" t="str">
        <f>"Maria Aparecida Cunha dos Santos"</f>
        <v>Maria Aparecida Cunha dos Santos</v>
      </c>
      <c r="D968" t="str">
        <f>"PROFESSOR NIVEL III"</f>
        <v>PROFESSOR NIVEL III</v>
      </c>
      <c r="E968" t="str">
        <f>"Efetivo-Inativos II-RJUSM"</f>
        <v>Efetivo-Inativos II-RJUSM</v>
      </c>
      <c r="F968" t="str">
        <f>"R$ 3.585,30"</f>
        <v>R$ 3.585,30</v>
      </c>
      <c r="G968" t="str">
        <f>"R$ 3.764,56"</f>
        <v>R$ 3.764,56</v>
      </c>
      <c r="H968" t="str">
        <f t="shared" si="83"/>
        <v>R$ 0,00</v>
      </c>
      <c r="I968" t="str">
        <f>"R$ 3.764,56"</f>
        <v>R$ 3.764,56</v>
      </c>
      <c r="J968" t="str">
        <f>"R$ 2.063,72"</f>
        <v>R$ 2.063,72</v>
      </c>
      <c r="K968" t="str">
        <f>"R$ 1.700,84"</f>
        <v>R$ 1.700,84</v>
      </c>
    </row>
    <row r="969" spans="1:11" x14ac:dyDescent="0.25">
      <c r="A969" t="str">
        <f>"00070840 / 1"</f>
        <v>00070840 / 1</v>
      </c>
      <c r="B969" t="str">
        <f>"Folha Mensal"</f>
        <v>Folha Mensal</v>
      </c>
      <c r="C969" t="str">
        <f>"Maria Aparecida Cunha dos Santos"</f>
        <v>Maria Aparecida Cunha dos Santos</v>
      </c>
      <c r="D969" t="str">
        <f>"PROFESSOR NIVEL III"</f>
        <v>PROFESSOR NIVEL III</v>
      </c>
      <c r="E969" t="str">
        <f>"Efetivo-Inativos II-RJUSM"</f>
        <v>Efetivo-Inativos II-RJUSM</v>
      </c>
      <c r="F969" t="str">
        <f>"R$ 3.585,30"</f>
        <v>R$ 3.585,30</v>
      </c>
      <c r="G969" t="str">
        <f>"R$ 3.764,56"</f>
        <v>R$ 3.764,56</v>
      </c>
      <c r="H969" t="str">
        <f t="shared" si="83"/>
        <v>R$ 0,00</v>
      </c>
      <c r="I969" t="str">
        <f>"R$ 3.764,56"</f>
        <v>R$ 3.764,56</v>
      </c>
      <c r="J969" t="str">
        <f>"R$ 181,44"</f>
        <v>R$ 181,44</v>
      </c>
      <c r="K969" t="str">
        <f>"R$ 3.583,12"</f>
        <v>R$ 3.583,12</v>
      </c>
    </row>
    <row r="970" spans="1:11" x14ac:dyDescent="0.25">
      <c r="A970" t="str">
        <f>"00000680 / 1"</f>
        <v>00000680 / 1</v>
      </c>
      <c r="B970" t="str">
        <f>"13° Salário Anual"</f>
        <v>13° Salário Anual</v>
      </c>
      <c r="C970" t="str">
        <f>"Maria Aparecida Nascimento Souza"</f>
        <v>Maria Aparecida Nascimento Souza</v>
      </c>
      <c r="D970" t="str">
        <f>"PROFESSOR"</f>
        <v>PROFESSOR</v>
      </c>
      <c r="E970" t="str">
        <f>"Efetivo-Inativo I- RJUSM"</f>
        <v>Efetivo-Inativo I- RJUSM</v>
      </c>
      <c r="F970" t="str">
        <f>"R$ 1.593,46"</f>
        <v>R$ 1.593,46</v>
      </c>
      <c r="G970" t="str">
        <f>"R$ 1.991,82"</f>
        <v>R$ 1.991,82</v>
      </c>
      <c r="H970" t="str">
        <f t="shared" si="83"/>
        <v>R$ 0,00</v>
      </c>
      <c r="I970" t="str">
        <f>"R$ 1.991,82"</f>
        <v>R$ 1.991,82</v>
      </c>
      <c r="J970" t="str">
        <f>"R$ 995,91"</f>
        <v>R$ 995,91</v>
      </c>
      <c r="K970" t="str">
        <f>"R$ 995,91"</f>
        <v>R$ 995,91</v>
      </c>
    </row>
    <row r="971" spans="1:11" x14ac:dyDescent="0.25">
      <c r="A971" t="str">
        <f>"00000680 / 1"</f>
        <v>00000680 / 1</v>
      </c>
      <c r="B971" t="str">
        <f>"Folha Mensal"</f>
        <v>Folha Mensal</v>
      </c>
      <c r="C971" t="str">
        <f>"Maria Aparecida Nascimento Souza"</f>
        <v>Maria Aparecida Nascimento Souza</v>
      </c>
      <c r="D971" t="str">
        <f>"PROFESSOR"</f>
        <v>PROFESSOR</v>
      </c>
      <c r="E971" t="str">
        <f>"Efetivo-Inativo I- RJUSM"</f>
        <v>Efetivo-Inativo I- RJUSM</v>
      </c>
      <c r="F971" t="str">
        <f>"R$ 1.593,46"</f>
        <v>R$ 1.593,46</v>
      </c>
      <c r="G971" t="str">
        <f>"R$ 1.991,82"</f>
        <v>R$ 1.991,82</v>
      </c>
      <c r="H971" t="str">
        <f t="shared" si="83"/>
        <v>R$ 0,00</v>
      </c>
      <c r="I971" t="str">
        <f>"R$ 1.991,82"</f>
        <v>R$ 1.991,82</v>
      </c>
      <c r="J971" t="str">
        <f>"R$ 0,00"</f>
        <v>R$ 0,00</v>
      </c>
      <c r="K971" t="str">
        <f>"R$ 1.991,82"</f>
        <v>R$ 1.991,82</v>
      </c>
    </row>
    <row r="972" spans="1:11" x14ac:dyDescent="0.25">
      <c r="A972" t="str">
        <f>"00002496 / 1"</f>
        <v>00002496 / 1</v>
      </c>
      <c r="B972" t="str">
        <f>"13° Salário Anual"</f>
        <v>13° Salário Anual</v>
      </c>
      <c r="C972" t="str">
        <f>"Maria Aparecida Santos Almeida"</f>
        <v>Maria Aparecida Santos Almeida</v>
      </c>
      <c r="D972" t="str">
        <f>"INT TEMP CONTRIBUICAO"</f>
        <v>INT TEMP CONTRIBUICAO</v>
      </c>
      <c r="E972" t="str">
        <f>"Efetivo-Inativos II-RJUSM"</f>
        <v>Efetivo-Inativos II-RJUSM</v>
      </c>
      <c r="F972" t="str">
        <f t="shared" ref="F972:F977" si="85">"R$ 1.100,00"</f>
        <v>R$ 1.100,00</v>
      </c>
      <c r="G972" t="str">
        <f>"R$ 1.430,00"</f>
        <v>R$ 1.430,00</v>
      </c>
      <c r="H972" t="str">
        <f t="shared" si="83"/>
        <v>R$ 0,00</v>
      </c>
      <c r="I972" t="str">
        <f>"R$ 1.430,00"</f>
        <v>R$ 1.430,00</v>
      </c>
      <c r="J972" t="str">
        <f>"R$ 715,00"</f>
        <v>R$ 715,00</v>
      </c>
      <c r="K972" t="str">
        <f>"R$ 715,00"</f>
        <v>R$ 715,00</v>
      </c>
    </row>
    <row r="973" spans="1:11" x14ac:dyDescent="0.25">
      <c r="A973" t="str">
        <f>"00002496 / 1"</f>
        <v>00002496 / 1</v>
      </c>
      <c r="B973" t="str">
        <f>"Folha Mensal"</f>
        <v>Folha Mensal</v>
      </c>
      <c r="C973" t="str">
        <f>"Maria Aparecida Santos Almeida"</f>
        <v>Maria Aparecida Santos Almeida</v>
      </c>
      <c r="D973" t="str">
        <f>"INT TEMP CONTRIBUICAO"</f>
        <v>INT TEMP CONTRIBUICAO</v>
      </c>
      <c r="E973" t="str">
        <f>"Efetivo-Inativos II-RJUSM"</f>
        <v>Efetivo-Inativos II-RJUSM</v>
      </c>
      <c r="F973" t="str">
        <f t="shared" si="85"/>
        <v>R$ 1.100,00</v>
      </c>
      <c r="G973" t="str">
        <f>"R$ 1.430,00"</f>
        <v>R$ 1.430,00</v>
      </c>
      <c r="H973" t="str">
        <f t="shared" si="83"/>
        <v>R$ 0,00</v>
      </c>
      <c r="I973" t="str">
        <f>"R$ 1.430,00"</f>
        <v>R$ 1.430,00</v>
      </c>
      <c r="J973" t="str">
        <f>"R$ 370,31"</f>
        <v>R$ 370,31</v>
      </c>
      <c r="K973" t="str">
        <f>"R$ 1.059,69"</f>
        <v>R$ 1.059,69</v>
      </c>
    </row>
    <row r="974" spans="1:11" x14ac:dyDescent="0.25">
      <c r="A974" t="str">
        <f>"03640272 / 1"</f>
        <v>03640272 / 1</v>
      </c>
      <c r="B974" t="str">
        <f>"13° Salário Anual"</f>
        <v>13° Salário Anual</v>
      </c>
      <c r="C974" t="str">
        <f>"Maria Araujo da Silva"</f>
        <v>Maria Araujo da Silva</v>
      </c>
      <c r="D974" t="str">
        <f>"PENSIONISTA"</f>
        <v>PENSIONISTA</v>
      </c>
      <c r="E974" t="str">
        <f>"Pensionista"</f>
        <v>Pensionista</v>
      </c>
      <c r="F974" t="str">
        <f t="shared" si="85"/>
        <v>R$ 1.100,00</v>
      </c>
      <c r="G974" t="str">
        <f>"R$ 1.265,00"</f>
        <v>R$ 1.265,00</v>
      </c>
      <c r="H974" t="str">
        <f t="shared" si="83"/>
        <v>R$ 0,00</v>
      </c>
      <c r="I974" t="str">
        <f>"R$ 1.265,00"</f>
        <v>R$ 1.265,00</v>
      </c>
      <c r="J974" t="str">
        <f>"R$ 632,50"</f>
        <v>R$ 632,50</v>
      </c>
      <c r="K974" t="str">
        <f>"R$ 632,50"</f>
        <v>R$ 632,50</v>
      </c>
    </row>
    <row r="975" spans="1:11" x14ac:dyDescent="0.25">
      <c r="A975" t="str">
        <f>"03640272 / 1"</f>
        <v>03640272 / 1</v>
      </c>
      <c r="B975" t="str">
        <f>"Folha Mensal"</f>
        <v>Folha Mensal</v>
      </c>
      <c r="C975" t="str">
        <f>"Maria Araujo da Silva"</f>
        <v>Maria Araujo da Silva</v>
      </c>
      <c r="D975" t="str">
        <f>"PENSIONISTA"</f>
        <v>PENSIONISTA</v>
      </c>
      <c r="E975" t="str">
        <f>"Pensionista"</f>
        <v>Pensionista</v>
      </c>
      <c r="F975" t="str">
        <f t="shared" si="85"/>
        <v>R$ 1.100,00</v>
      </c>
      <c r="G975" t="str">
        <f>"R$ 1.526,25"</f>
        <v>R$ 1.526,25</v>
      </c>
      <c r="H975" t="str">
        <f t="shared" si="83"/>
        <v>R$ 0,00</v>
      </c>
      <c r="I975" t="str">
        <f>"R$ 1.526,25"</f>
        <v>R$ 1.526,25</v>
      </c>
      <c r="J975" t="str">
        <f>"R$ 0,00"</f>
        <v>R$ 0,00</v>
      </c>
      <c r="K975" t="str">
        <f>"R$ 1.526,25"</f>
        <v>R$ 1.526,25</v>
      </c>
    </row>
    <row r="976" spans="1:11" x14ac:dyDescent="0.25">
      <c r="A976" t="str">
        <f>"00000094 / 1"</f>
        <v>00000094 / 1</v>
      </c>
      <c r="B976" t="str">
        <f>"13° Salário Anual"</f>
        <v>13° Salário Anual</v>
      </c>
      <c r="C976" t="str">
        <f>"Maria Arlete Freire Serrao"</f>
        <v>Maria Arlete Freire Serrao</v>
      </c>
      <c r="D976" t="str">
        <f>"PROP IDADE"</f>
        <v>PROP IDADE</v>
      </c>
      <c r="E976" t="str">
        <f t="shared" ref="E976:E981" si="86">"Efetivo-Inativo I- RJUSM"</f>
        <v>Efetivo-Inativo I- RJUSM</v>
      </c>
      <c r="F976" t="str">
        <f t="shared" si="85"/>
        <v>R$ 1.100,00</v>
      </c>
      <c r="G976" t="str">
        <f>"R$ 1.100,00"</f>
        <v>R$ 1.100,00</v>
      </c>
      <c r="H976" t="str">
        <f t="shared" si="83"/>
        <v>R$ 0,00</v>
      </c>
      <c r="I976" t="str">
        <f>"R$ 1.100,00"</f>
        <v>R$ 1.100,00</v>
      </c>
      <c r="J976" t="str">
        <f>"R$ 550,00"</f>
        <v>R$ 550,00</v>
      </c>
      <c r="K976" t="str">
        <f>"R$ 550,00"</f>
        <v>R$ 550,00</v>
      </c>
    </row>
    <row r="977" spans="1:11" x14ac:dyDescent="0.25">
      <c r="A977" t="str">
        <f>"00000094 / 1"</f>
        <v>00000094 / 1</v>
      </c>
      <c r="B977" t="str">
        <f>"Folha Mensal"</f>
        <v>Folha Mensal</v>
      </c>
      <c r="C977" t="str">
        <f>"Maria Arlete Freire Serrao"</f>
        <v>Maria Arlete Freire Serrao</v>
      </c>
      <c r="D977" t="str">
        <f>"PROP IDADE"</f>
        <v>PROP IDADE</v>
      </c>
      <c r="E977" t="str">
        <f t="shared" si="86"/>
        <v>Efetivo-Inativo I- RJUSM</v>
      </c>
      <c r="F977" t="str">
        <f t="shared" si="85"/>
        <v>R$ 1.100,00</v>
      </c>
      <c r="G977" t="str">
        <f>"R$ 1.100,00"</f>
        <v>R$ 1.100,00</v>
      </c>
      <c r="H977" t="str">
        <f t="shared" si="83"/>
        <v>R$ 0,00</v>
      </c>
      <c r="I977" t="str">
        <f>"R$ 1.100,00"</f>
        <v>R$ 1.100,00</v>
      </c>
      <c r="J977" t="str">
        <f>"R$ 0,00"</f>
        <v>R$ 0,00</v>
      </c>
      <c r="K977" t="str">
        <f>"R$ 1.100,00"</f>
        <v>R$ 1.100,00</v>
      </c>
    </row>
    <row r="978" spans="1:11" x14ac:dyDescent="0.25">
      <c r="A978" t="str">
        <f>"00000558 / 1"</f>
        <v>00000558 / 1</v>
      </c>
      <c r="B978" t="str">
        <f>"13° Salário Anual"</f>
        <v>13° Salário Anual</v>
      </c>
      <c r="C978" t="str">
        <f>"Maria Augusta Furtado da Silva"</f>
        <v>Maria Augusta Furtado da Silva</v>
      </c>
      <c r="D978" t="str">
        <f>"PROFESSOR"</f>
        <v>PROFESSOR</v>
      </c>
      <c r="E978" t="str">
        <f t="shared" si="86"/>
        <v>Efetivo-Inativo I- RJUSM</v>
      </c>
      <c r="F978" t="str">
        <f>"R$ 4.780,40"</f>
        <v>R$ 4.780,40</v>
      </c>
      <c r="G978" t="str">
        <f>"R$ 5.695,87"</f>
        <v>R$ 5.695,87</v>
      </c>
      <c r="H978" t="str">
        <f t="shared" si="83"/>
        <v>R$ 0,00</v>
      </c>
      <c r="I978" t="str">
        <f>"R$ 5.695,87"</f>
        <v>R$ 5.695,87</v>
      </c>
      <c r="J978" t="str">
        <f>"R$ 2.278,35"</f>
        <v>R$ 2.278,35</v>
      </c>
      <c r="K978" t="str">
        <f>"R$ 3.417,52"</f>
        <v>R$ 3.417,52</v>
      </c>
    </row>
    <row r="979" spans="1:11" x14ac:dyDescent="0.25">
      <c r="A979" t="str">
        <f>"00000558 / 1"</f>
        <v>00000558 / 1</v>
      </c>
      <c r="B979" t="str">
        <f>"Folha Mensal"</f>
        <v>Folha Mensal</v>
      </c>
      <c r="C979" t="str">
        <f>"Maria Augusta Furtado da Silva"</f>
        <v>Maria Augusta Furtado da Silva</v>
      </c>
      <c r="D979" t="str">
        <f>"PROFESSOR"</f>
        <v>PROFESSOR</v>
      </c>
      <c r="E979" t="str">
        <f t="shared" si="86"/>
        <v>Efetivo-Inativo I- RJUSM</v>
      </c>
      <c r="F979" t="str">
        <f>"R$ 4.780,40"</f>
        <v>R$ 4.780,40</v>
      </c>
      <c r="G979" t="str">
        <f>"R$ 9.560,80"</f>
        <v>R$ 9.560,80</v>
      </c>
      <c r="H979" t="str">
        <f t="shared" si="83"/>
        <v>R$ 0,00</v>
      </c>
      <c r="I979" t="str">
        <f>"R$ 9.560,80"</f>
        <v>R$ 9.560,80</v>
      </c>
      <c r="J979" t="str">
        <f>"R$ 2.941,68"</f>
        <v>R$ 2.941,68</v>
      </c>
      <c r="K979" t="str">
        <f>"R$ 6.619,12"</f>
        <v>R$ 6.619,12</v>
      </c>
    </row>
    <row r="980" spans="1:11" x14ac:dyDescent="0.25">
      <c r="A980" t="str">
        <f>"00001996 / 1"</f>
        <v>00001996 / 1</v>
      </c>
      <c r="B980" t="str">
        <f>"13° Salário Anual"</f>
        <v>13° Salário Anual</v>
      </c>
      <c r="C980" t="str">
        <f>"Maria Bebiana de Melo Moutinho"</f>
        <v>Maria Bebiana de Melo Moutinho</v>
      </c>
      <c r="D980" t="str">
        <f>"PROFESSOR"</f>
        <v>PROFESSOR</v>
      </c>
      <c r="E980" t="str">
        <f t="shared" si="86"/>
        <v>Efetivo-Inativo I- RJUSM</v>
      </c>
      <c r="F980" t="str">
        <f>"R$ 1.593,46"</f>
        <v>R$ 1.593,46</v>
      </c>
      <c r="G980" t="str">
        <f>"R$ 1.912,15"</f>
        <v>R$ 1.912,15</v>
      </c>
      <c r="H980" t="str">
        <f t="shared" si="83"/>
        <v>R$ 0,00</v>
      </c>
      <c r="I980" t="str">
        <f>"R$ 1.912,15"</f>
        <v>R$ 1.912,15</v>
      </c>
      <c r="J980" t="str">
        <f>"R$ 956,07"</f>
        <v>R$ 956,07</v>
      </c>
      <c r="K980" t="str">
        <f>"R$ 956,08"</f>
        <v>R$ 956,08</v>
      </c>
    </row>
    <row r="981" spans="1:11" x14ac:dyDescent="0.25">
      <c r="A981" t="str">
        <f>"00001996 / 1"</f>
        <v>00001996 / 1</v>
      </c>
      <c r="B981" t="str">
        <f>"Folha Mensal"</f>
        <v>Folha Mensal</v>
      </c>
      <c r="C981" t="str">
        <f>"Maria Bebiana de Melo Moutinho"</f>
        <v>Maria Bebiana de Melo Moutinho</v>
      </c>
      <c r="D981" t="str">
        <f>"PROFESSOR"</f>
        <v>PROFESSOR</v>
      </c>
      <c r="E981" t="str">
        <f t="shared" si="86"/>
        <v>Efetivo-Inativo I- RJUSM</v>
      </c>
      <c r="F981" t="str">
        <f>"R$ 1.593,46"</f>
        <v>R$ 1.593,46</v>
      </c>
      <c r="G981" t="str">
        <f>"R$ 1.912,15"</f>
        <v>R$ 1.912,15</v>
      </c>
      <c r="H981" t="str">
        <f t="shared" si="83"/>
        <v>R$ 0,00</v>
      </c>
      <c r="I981" t="str">
        <f>"R$ 1.912,15"</f>
        <v>R$ 1.912,15</v>
      </c>
      <c r="J981" t="str">
        <f>"R$ 664,90"</f>
        <v>R$ 664,90</v>
      </c>
      <c r="K981" t="str">
        <f>"R$ 1.247,25"</f>
        <v>R$ 1.247,25</v>
      </c>
    </row>
    <row r="982" spans="1:11" x14ac:dyDescent="0.25">
      <c r="A982" t="str">
        <f>"00027987 / 1"</f>
        <v>00027987 / 1</v>
      </c>
      <c r="B982" t="str">
        <f>"13° Salário Anual"</f>
        <v>13° Salário Anual</v>
      </c>
      <c r="C982" t="str">
        <f>"Maria Bernadete da Silva Souza"</f>
        <v>Maria Bernadete da Silva Souza</v>
      </c>
      <c r="D982" t="str">
        <f>"PROFESSOR NIVEL II"</f>
        <v>PROFESSOR NIVEL II</v>
      </c>
      <c r="E982" t="str">
        <f>"Efetivo-Inativos II-RJUSM"</f>
        <v>Efetivo-Inativos II-RJUSM</v>
      </c>
      <c r="F982" t="str">
        <f>"R$ 5.736,47"</f>
        <v>R$ 5.736,47</v>
      </c>
      <c r="G982" t="str">
        <f>"R$ 7.457,41"</f>
        <v>R$ 7.457,41</v>
      </c>
      <c r="H982" t="str">
        <f t="shared" si="83"/>
        <v>R$ 0,00</v>
      </c>
      <c r="I982" t="str">
        <f>"R$ 7.457,41"</f>
        <v>R$ 7.457,41</v>
      </c>
      <c r="J982" t="str">
        <f>"R$ 3.918,58"</f>
        <v>R$ 3.918,58</v>
      </c>
      <c r="K982" t="str">
        <f>"R$ 3.538,83"</f>
        <v>R$ 3.538,83</v>
      </c>
    </row>
    <row r="983" spans="1:11" x14ac:dyDescent="0.25">
      <c r="A983" t="str">
        <f>"00027987 / 1"</f>
        <v>00027987 / 1</v>
      </c>
      <c r="B983" t="str">
        <f>"Folha Mensal"</f>
        <v>Folha Mensal</v>
      </c>
      <c r="C983" t="str">
        <f>"Maria Bernadete da Silva Souza"</f>
        <v>Maria Bernadete da Silva Souza</v>
      </c>
      <c r="D983" t="str">
        <f>"PROFESSOR NIVEL II"</f>
        <v>PROFESSOR NIVEL II</v>
      </c>
      <c r="E983" t="str">
        <f>"Efetivo-Inativos II-RJUSM"</f>
        <v>Efetivo-Inativos II-RJUSM</v>
      </c>
      <c r="F983" t="str">
        <f>"R$ 5.736,47"</f>
        <v>R$ 5.736,47</v>
      </c>
      <c r="G983" t="str">
        <f>"R$ 7.457,41"</f>
        <v>R$ 7.457,41</v>
      </c>
      <c r="H983" t="str">
        <f t="shared" si="83"/>
        <v>R$ 0,00</v>
      </c>
      <c r="I983" t="str">
        <f>"R$ 7.457,41"</f>
        <v>R$ 7.457,41</v>
      </c>
      <c r="J983" t="str">
        <f>"R$ 189,88"</f>
        <v>R$ 189,88</v>
      </c>
      <c r="K983" t="str">
        <f>"R$ 7.267,53"</f>
        <v>R$ 7.267,53</v>
      </c>
    </row>
    <row r="984" spans="1:11" x14ac:dyDescent="0.25">
      <c r="A984" t="str">
        <f>"00032948 / 2"</f>
        <v>00032948 / 2</v>
      </c>
      <c r="B984" t="str">
        <f>"13° Salário Anual"</f>
        <v>13° Salário Anual</v>
      </c>
      <c r="C984" t="str">
        <f>"Maria Betanha Lobato Costa"</f>
        <v>Maria Betanha Lobato Costa</v>
      </c>
      <c r="D984" t="str">
        <f>"INT TEMP CONTRIBUICAO"</f>
        <v>INT TEMP CONTRIBUICAO</v>
      </c>
      <c r="E984" t="str">
        <f>"Efetivo-Inativos II-RJUSM"</f>
        <v>Efetivo-Inativos II-RJUSM</v>
      </c>
      <c r="F984" t="str">
        <f t="shared" ref="F984:F991" si="87">"R$ 1.100,00"</f>
        <v>R$ 1.100,00</v>
      </c>
      <c r="G984" t="str">
        <f>"R$ 1.430,00"</f>
        <v>R$ 1.430,00</v>
      </c>
      <c r="H984" t="str">
        <f t="shared" si="83"/>
        <v>R$ 0,00</v>
      </c>
      <c r="I984" t="str">
        <f>"R$ 1.430,00"</f>
        <v>R$ 1.430,00</v>
      </c>
      <c r="J984" t="str">
        <f>"R$ 715,00"</f>
        <v>R$ 715,00</v>
      </c>
      <c r="K984" t="str">
        <f>"R$ 715,00"</f>
        <v>R$ 715,00</v>
      </c>
    </row>
    <row r="985" spans="1:11" x14ac:dyDescent="0.25">
      <c r="A985" t="str">
        <f>"00032948 / 2"</f>
        <v>00032948 / 2</v>
      </c>
      <c r="B985" t="str">
        <f>"Folha Mensal"</f>
        <v>Folha Mensal</v>
      </c>
      <c r="C985" t="str">
        <f>"Maria Betanha Lobato Costa"</f>
        <v>Maria Betanha Lobato Costa</v>
      </c>
      <c r="D985" t="str">
        <f>"INT TEMP CONTRIBUICAO"</f>
        <v>INT TEMP CONTRIBUICAO</v>
      </c>
      <c r="E985" t="str">
        <f>"Efetivo-Inativos II-RJUSM"</f>
        <v>Efetivo-Inativos II-RJUSM</v>
      </c>
      <c r="F985" t="str">
        <f t="shared" si="87"/>
        <v>R$ 1.100,00</v>
      </c>
      <c r="G985" t="str">
        <f>"R$ 1.430,00"</f>
        <v>R$ 1.430,00</v>
      </c>
      <c r="H985" t="str">
        <f t="shared" si="83"/>
        <v>R$ 0,00</v>
      </c>
      <c r="I985" t="str">
        <f>"R$ 1.430,00"</f>
        <v>R$ 1.430,00</v>
      </c>
      <c r="J985" t="str">
        <f>"R$ 199,83"</f>
        <v>R$ 199,83</v>
      </c>
      <c r="K985" t="str">
        <f>"R$ 1.230,17"</f>
        <v>R$ 1.230,17</v>
      </c>
    </row>
    <row r="986" spans="1:11" x14ac:dyDescent="0.25">
      <c r="A986" t="str">
        <f>"00022721 / 1"</f>
        <v>00022721 / 1</v>
      </c>
      <c r="B986" t="str">
        <f>"13° Salário Anual"</f>
        <v>13° Salário Anual</v>
      </c>
      <c r="C986" t="str">
        <f>"Maria Carvalho do Rosario"</f>
        <v>Maria Carvalho do Rosario</v>
      </c>
      <c r="D986" t="str">
        <f>"PROP IDADE"</f>
        <v>PROP IDADE</v>
      </c>
      <c r="E986" t="str">
        <f>"Efetivo-Inativo I- RJUSM"</f>
        <v>Efetivo-Inativo I- RJUSM</v>
      </c>
      <c r="F986" t="str">
        <f t="shared" si="87"/>
        <v>R$ 1.100,00</v>
      </c>
      <c r="G986" t="str">
        <f>"R$ 1.100,00"</f>
        <v>R$ 1.100,00</v>
      </c>
      <c r="H986" t="str">
        <f t="shared" si="83"/>
        <v>R$ 0,00</v>
      </c>
      <c r="I986" t="str">
        <f>"R$ 1.100,00"</f>
        <v>R$ 1.100,00</v>
      </c>
      <c r="J986" t="str">
        <f>"R$ 550,00"</f>
        <v>R$ 550,00</v>
      </c>
      <c r="K986" t="str">
        <f>"R$ 550,00"</f>
        <v>R$ 550,00</v>
      </c>
    </row>
    <row r="987" spans="1:11" x14ac:dyDescent="0.25">
      <c r="A987" t="str">
        <f>"00022721 / 1"</f>
        <v>00022721 / 1</v>
      </c>
      <c r="B987" t="str">
        <f>"Folha Mensal"</f>
        <v>Folha Mensal</v>
      </c>
      <c r="C987" t="str">
        <f>"Maria Carvalho do Rosario"</f>
        <v>Maria Carvalho do Rosario</v>
      </c>
      <c r="D987" t="str">
        <f>"PROP IDADE"</f>
        <v>PROP IDADE</v>
      </c>
      <c r="E987" t="str">
        <f>"Efetivo-Inativo I- RJUSM"</f>
        <v>Efetivo-Inativo I- RJUSM</v>
      </c>
      <c r="F987" t="str">
        <f t="shared" si="87"/>
        <v>R$ 1.100,00</v>
      </c>
      <c r="G987" t="str">
        <f>"R$ 1.100,00"</f>
        <v>R$ 1.100,00</v>
      </c>
      <c r="H987" t="str">
        <f t="shared" si="83"/>
        <v>R$ 0,00</v>
      </c>
      <c r="I987" t="str">
        <f>"R$ 1.100,00"</f>
        <v>R$ 1.100,00</v>
      </c>
      <c r="J987" t="str">
        <f>"R$ 0,00"</f>
        <v>R$ 0,00</v>
      </c>
      <c r="K987" t="str">
        <f>"R$ 1.100,00"</f>
        <v>R$ 1.100,00</v>
      </c>
    </row>
    <row r="988" spans="1:11" x14ac:dyDescent="0.25">
      <c r="A988" t="str">
        <f>"00406040 / 1"</f>
        <v>00406040 / 1</v>
      </c>
      <c r="B988" t="str">
        <f>"13° Salário Anual"</f>
        <v>13° Salário Anual</v>
      </c>
      <c r="C988" t="str">
        <f>"Maria Celeste da Silva Pinho"</f>
        <v>Maria Celeste da Silva Pinho</v>
      </c>
      <c r="D988" t="str">
        <f>"PENSIONISTA"</f>
        <v>PENSIONISTA</v>
      </c>
      <c r="E988" t="str">
        <f>"Pensionista"</f>
        <v>Pensionista</v>
      </c>
      <c r="F988" t="str">
        <f t="shared" si="87"/>
        <v>R$ 1.100,00</v>
      </c>
      <c r="G988" t="str">
        <f>"R$ 1.100,00"</f>
        <v>R$ 1.100,00</v>
      </c>
      <c r="H988" t="str">
        <f t="shared" si="83"/>
        <v>R$ 0,00</v>
      </c>
      <c r="I988" t="str">
        <f>"R$ 1.100,00"</f>
        <v>R$ 1.100,00</v>
      </c>
      <c r="J988" t="str">
        <f>"R$ 550,00"</f>
        <v>R$ 550,00</v>
      </c>
      <c r="K988" t="str">
        <f>"R$ 550,00"</f>
        <v>R$ 550,00</v>
      </c>
    </row>
    <row r="989" spans="1:11" x14ac:dyDescent="0.25">
      <c r="A989" t="str">
        <f>"00406040 / 1"</f>
        <v>00406040 / 1</v>
      </c>
      <c r="B989" t="str">
        <f>"Folha Mensal"</f>
        <v>Folha Mensal</v>
      </c>
      <c r="C989" t="str">
        <f>"Maria Celeste da Silva Pinho"</f>
        <v>Maria Celeste da Silva Pinho</v>
      </c>
      <c r="D989" t="str">
        <f>"PENSIONISTA"</f>
        <v>PENSIONISTA</v>
      </c>
      <c r="E989" t="str">
        <f>"Pensionista"</f>
        <v>Pensionista</v>
      </c>
      <c r="F989" t="str">
        <f t="shared" si="87"/>
        <v>R$ 1.100,00</v>
      </c>
      <c r="G989" t="str">
        <f>"R$ 1.100,00"</f>
        <v>R$ 1.100,00</v>
      </c>
      <c r="H989" t="str">
        <f t="shared" si="83"/>
        <v>R$ 0,00</v>
      </c>
      <c r="I989" t="str">
        <f>"R$ 1.100,00"</f>
        <v>R$ 1.100,00</v>
      </c>
      <c r="J989" t="str">
        <f>"R$ 383,99"</f>
        <v>R$ 383,99</v>
      </c>
      <c r="K989" t="str">
        <f>"R$ 716,01"</f>
        <v>R$ 716,01</v>
      </c>
    </row>
    <row r="990" spans="1:11" x14ac:dyDescent="0.25">
      <c r="A990" t="str">
        <f>"00004707 / 1"</f>
        <v>00004707 / 1</v>
      </c>
      <c r="B990" t="str">
        <f>"13° Salário Anual"</f>
        <v>13° Salário Anual</v>
      </c>
      <c r="C990" t="str">
        <f>"Maria Celeste de Lima Teixeira"</f>
        <v>Maria Celeste de Lima Teixeira</v>
      </c>
      <c r="D990" t="str">
        <f>"INT TEMP CONTRIBUICAO"</f>
        <v>INT TEMP CONTRIBUICAO</v>
      </c>
      <c r="E990" t="str">
        <f>"Efetivo-Inativos II-RJUSM"</f>
        <v>Efetivo-Inativos II-RJUSM</v>
      </c>
      <c r="F990" t="str">
        <f t="shared" si="87"/>
        <v>R$ 1.100,00</v>
      </c>
      <c r="G990" t="str">
        <f>"R$ 1.430,00"</f>
        <v>R$ 1.430,00</v>
      </c>
      <c r="H990" t="str">
        <f t="shared" si="83"/>
        <v>R$ 0,00</v>
      </c>
      <c r="I990" t="str">
        <f>"R$ 1.430,00"</f>
        <v>R$ 1.430,00</v>
      </c>
      <c r="J990" t="str">
        <f>"R$ 715,00"</f>
        <v>R$ 715,00</v>
      </c>
      <c r="K990" t="str">
        <f>"R$ 715,00"</f>
        <v>R$ 715,00</v>
      </c>
    </row>
    <row r="991" spans="1:11" x14ac:dyDescent="0.25">
      <c r="A991" t="str">
        <f>"00004707 / 1"</f>
        <v>00004707 / 1</v>
      </c>
      <c r="B991" t="str">
        <f>"Folha Mensal"</f>
        <v>Folha Mensal</v>
      </c>
      <c r="C991" t="str">
        <f>"Maria Celeste de Lima Teixeira"</f>
        <v>Maria Celeste de Lima Teixeira</v>
      </c>
      <c r="D991" t="str">
        <f>"INT TEMP CONTRIBUICAO"</f>
        <v>INT TEMP CONTRIBUICAO</v>
      </c>
      <c r="E991" t="str">
        <f>"Efetivo-Inativos II-RJUSM"</f>
        <v>Efetivo-Inativos II-RJUSM</v>
      </c>
      <c r="F991" t="str">
        <f t="shared" si="87"/>
        <v>R$ 1.100,00</v>
      </c>
      <c r="G991" t="str">
        <f>"R$ 1.430,00"</f>
        <v>R$ 1.430,00</v>
      </c>
      <c r="H991" t="str">
        <f t="shared" si="83"/>
        <v>R$ 0,00</v>
      </c>
      <c r="I991" t="str">
        <f>"R$ 1.430,00"</f>
        <v>R$ 1.430,00</v>
      </c>
      <c r="J991" t="str">
        <f>"R$ 318,20"</f>
        <v>R$ 318,20</v>
      </c>
      <c r="K991" t="str">
        <f>"R$ 1.111,80"</f>
        <v>R$ 1.111,80</v>
      </c>
    </row>
    <row r="992" spans="1:11" x14ac:dyDescent="0.25">
      <c r="A992" t="str">
        <f>"00006203 / 1"</f>
        <v>00006203 / 1</v>
      </c>
      <c r="B992" t="str">
        <f>"13° Salário Anual"</f>
        <v>13° Salário Anual</v>
      </c>
      <c r="C992" t="str">
        <f>"Maria Celeste Maciel Fernandes"</f>
        <v>Maria Celeste Maciel Fernandes</v>
      </c>
      <c r="D992" t="str">
        <f>"PROFESSOR"</f>
        <v>PROFESSOR</v>
      </c>
      <c r="E992" t="str">
        <f t="shared" ref="E992:E997" si="88">"Efetivo-Inativo I- RJUSM"</f>
        <v>Efetivo-Inativo I- RJUSM</v>
      </c>
      <c r="F992" t="str">
        <f>"R$ 1.593,46"</f>
        <v>R$ 1.593,46</v>
      </c>
      <c r="G992" t="str">
        <f>"R$ 3.585,28"</f>
        <v>R$ 3.585,28</v>
      </c>
      <c r="H992" t="str">
        <f t="shared" si="83"/>
        <v>R$ 0,00</v>
      </c>
      <c r="I992" t="str">
        <f>"R$ 3.585,28"</f>
        <v>R$ 3.585,28</v>
      </c>
      <c r="J992" t="str">
        <f>"R$ 1.792,64"</f>
        <v>R$ 1.792,64</v>
      </c>
      <c r="K992" t="str">
        <f>"R$ 1.792,64"</f>
        <v>R$ 1.792,64</v>
      </c>
    </row>
    <row r="993" spans="1:11" x14ac:dyDescent="0.25">
      <c r="A993" t="str">
        <f>"00006203 / 1"</f>
        <v>00006203 / 1</v>
      </c>
      <c r="B993" t="str">
        <f>"Folha Mensal"</f>
        <v>Folha Mensal</v>
      </c>
      <c r="C993" t="str">
        <f>"Maria Celeste Maciel Fernandes"</f>
        <v>Maria Celeste Maciel Fernandes</v>
      </c>
      <c r="D993" t="str">
        <f>"PROFESSOR"</f>
        <v>PROFESSOR</v>
      </c>
      <c r="E993" t="str">
        <f t="shared" si="88"/>
        <v>Efetivo-Inativo I- RJUSM</v>
      </c>
      <c r="F993" t="str">
        <f>"R$ 1.593,46"</f>
        <v>R$ 1.593,46</v>
      </c>
      <c r="G993" t="str">
        <f>"R$ 3.585,28"</f>
        <v>R$ 3.585,28</v>
      </c>
      <c r="H993" t="str">
        <f t="shared" si="83"/>
        <v>R$ 0,00</v>
      </c>
      <c r="I993" t="str">
        <f>"R$ 3.585,28"</f>
        <v>R$ 3.585,28</v>
      </c>
      <c r="J993" t="str">
        <f>"R$ 1.285,10"</f>
        <v>R$ 1.285,10</v>
      </c>
      <c r="K993" t="str">
        <f>"R$ 2.300,18"</f>
        <v>R$ 2.300,18</v>
      </c>
    </row>
    <row r="994" spans="1:11" x14ac:dyDescent="0.25">
      <c r="A994" t="str">
        <f>"00025321 / 1"</f>
        <v>00025321 / 1</v>
      </c>
      <c r="B994" t="str">
        <f>"13° Salário Anual"</f>
        <v>13° Salário Anual</v>
      </c>
      <c r="C994" t="str">
        <f>"Maria Celestina Souza Espindola"</f>
        <v>Maria Celestina Souza Espindola</v>
      </c>
      <c r="D994" t="str">
        <f>"PROFESSOR"</f>
        <v>PROFESSOR</v>
      </c>
      <c r="E994" t="str">
        <f t="shared" si="88"/>
        <v>Efetivo-Inativo I- RJUSM</v>
      </c>
      <c r="F994" t="str">
        <f>"R$ 1.673,12"</f>
        <v>R$ 1.673,12</v>
      </c>
      <c r="G994" t="str">
        <f>"R$ 2.175,05"</f>
        <v>R$ 2.175,05</v>
      </c>
      <c r="H994" t="str">
        <f t="shared" si="83"/>
        <v>R$ 0,00</v>
      </c>
      <c r="I994" t="str">
        <f>"R$ 2.175,05"</f>
        <v>R$ 2.175,05</v>
      </c>
      <c r="J994" t="str">
        <f>"R$ 1.087,52"</f>
        <v>R$ 1.087,52</v>
      </c>
      <c r="K994" t="str">
        <f>"R$ 1.087,53"</f>
        <v>R$ 1.087,53</v>
      </c>
    </row>
    <row r="995" spans="1:11" x14ac:dyDescent="0.25">
      <c r="A995" t="str">
        <f>"00025321 / 1"</f>
        <v>00025321 / 1</v>
      </c>
      <c r="B995" t="str">
        <f>"Folha Mensal"</f>
        <v>Folha Mensal</v>
      </c>
      <c r="C995" t="str">
        <f>"Maria Celestina Souza Espindola"</f>
        <v>Maria Celestina Souza Espindola</v>
      </c>
      <c r="D995" t="str">
        <f>"PROFESSOR"</f>
        <v>PROFESSOR</v>
      </c>
      <c r="E995" t="str">
        <f t="shared" si="88"/>
        <v>Efetivo-Inativo I- RJUSM</v>
      </c>
      <c r="F995" t="str">
        <f>"R$ 1.673,12"</f>
        <v>R$ 1.673,12</v>
      </c>
      <c r="G995" t="str">
        <f>"R$ 2.175,05"</f>
        <v>R$ 2.175,05</v>
      </c>
      <c r="H995" t="str">
        <f t="shared" si="83"/>
        <v>R$ 0,00</v>
      </c>
      <c r="I995" t="str">
        <f>"R$ 2.175,05"</f>
        <v>R$ 2.175,05</v>
      </c>
      <c r="J995" t="str">
        <f>"R$ 563,24"</f>
        <v>R$ 563,24</v>
      </c>
      <c r="K995" t="str">
        <f>"R$ 1.611,81"</f>
        <v>R$ 1.611,81</v>
      </c>
    </row>
    <row r="996" spans="1:11" x14ac:dyDescent="0.25">
      <c r="A996" t="str">
        <f>"00023507 / 1"</f>
        <v>00023507 / 1</v>
      </c>
      <c r="B996" t="str">
        <f>"13° Salário Anual"</f>
        <v>13° Salário Anual</v>
      </c>
      <c r="C996" t="str">
        <f>"Maria Celia Monteiro Gomes"</f>
        <v>Maria Celia Monteiro Gomes</v>
      </c>
      <c r="D996" t="str">
        <f>"INT TEMP CONTRIBUICAO"</f>
        <v>INT TEMP CONTRIBUICAO</v>
      </c>
      <c r="E996" t="str">
        <f t="shared" si="88"/>
        <v>Efetivo-Inativo I- RJUSM</v>
      </c>
      <c r="F996" t="str">
        <f>"R$ 1.100,00"</f>
        <v>R$ 1.100,00</v>
      </c>
      <c r="G996" t="str">
        <f>"R$ 1.430,00"</f>
        <v>R$ 1.430,00</v>
      </c>
      <c r="H996" t="str">
        <f t="shared" si="83"/>
        <v>R$ 0,00</v>
      </c>
      <c r="I996" t="str">
        <f>"R$ 1.430,00"</f>
        <v>R$ 1.430,00</v>
      </c>
      <c r="J996" t="str">
        <f>"R$ 715,00"</f>
        <v>R$ 715,00</v>
      </c>
      <c r="K996" t="str">
        <f>"R$ 715,00"</f>
        <v>R$ 715,00</v>
      </c>
    </row>
    <row r="997" spans="1:11" x14ac:dyDescent="0.25">
      <c r="A997" t="str">
        <f>"00023507 / 1"</f>
        <v>00023507 / 1</v>
      </c>
      <c r="B997" t="str">
        <f>"Folha Mensal"</f>
        <v>Folha Mensal</v>
      </c>
      <c r="C997" t="str">
        <f>"Maria Celia Monteiro Gomes"</f>
        <v>Maria Celia Monteiro Gomes</v>
      </c>
      <c r="D997" t="str">
        <f>"INT TEMP CONTRIBUICAO"</f>
        <v>INT TEMP CONTRIBUICAO</v>
      </c>
      <c r="E997" t="str">
        <f t="shared" si="88"/>
        <v>Efetivo-Inativo I- RJUSM</v>
      </c>
      <c r="F997" t="str">
        <f>"R$ 1.100,00"</f>
        <v>R$ 1.100,00</v>
      </c>
      <c r="G997" t="str">
        <f>"R$ 1.430,00"</f>
        <v>R$ 1.430,00</v>
      </c>
      <c r="H997" t="str">
        <f t="shared" si="83"/>
        <v>R$ 0,00</v>
      </c>
      <c r="I997" t="str">
        <f>"R$ 1.430,00"</f>
        <v>R$ 1.430,00</v>
      </c>
      <c r="J997" t="str">
        <f>"R$ 368,41"</f>
        <v>R$ 368,41</v>
      </c>
      <c r="K997" t="str">
        <f>"R$ 1.061,59"</f>
        <v>R$ 1.061,59</v>
      </c>
    </row>
    <row r="998" spans="1:11" x14ac:dyDescent="0.25">
      <c r="A998" t="str">
        <f>"00057657 / 1"</f>
        <v>00057657 / 1</v>
      </c>
      <c r="B998" t="str">
        <f>"13° Salário Anual"</f>
        <v>13° Salário Anual</v>
      </c>
      <c r="C998" t="str">
        <f>"Maria Cicera Magalhaes Gomes"</f>
        <v>Maria Cicera Magalhaes Gomes</v>
      </c>
      <c r="D998" t="str">
        <f>"PROFESSOR NIVEL I"</f>
        <v>PROFESSOR NIVEL I</v>
      </c>
      <c r="E998" t="str">
        <f>"Efetivo-Inativos II-RJUSM"</f>
        <v>Efetivo-Inativos II-RJUSM</v>
      </c>
      <c r="F998" t="str">
        <f>"R$ 4.143,03"</f>
        <v>R$ 4.143,03</v>
      </c>
      <c r="G998" t="str">
        <f>"R$ 4.971,63"</f>
        <v>R$ 4.971,63</v>
      </c>
      <c r="H998" t="str">
        <f t="shared" si="83"/>
        <v>R$ 0,00</v>
      </c>
      <c r="I998" t="str">
        <f>"R$ 4.971,63"</f>
        <v>R$ 4.971,63</v>
      </c>
      <c r="J998" t="str">
        <f>"R$ 2.485,81"</f>
        <v>R$ 2.485,81</v>
      </c>
      <c r="K998" t="str">
        <f>"R$ 2.485,82"</f>
        <v>R$ 2.485,82</v>
      </c>
    </row>
    <row r="999" spans="1:11" x14ac:dyDescent="0.25">
      <c r="A999" t="str">
        <f>"00057657 / 1"</f>
        <v>00057657 / 1</v>
      </c>
      <c r="B999" t="str">
        <f>"Folha Mensal"</f>
        <v>Folha Mensal</v>
      </c>
      <c r="C999" t="str">
        <f>"Maria Cicera Magalhaes Gomes"</f>
        <v>Maria Cicera Magalhaes Gomes</v>
      </c>
      <c r="D999" t="str">
        <f>"PROFESSOR NIVEL I"</f>
        <v>PROFESSOR NIVEL I</v>
      </c>
      <c r="E999" t="str">
        <f>"Efetivo-Inativos II-RJUSM"</f>
        <v>Efetivo-Inativos II-RJUSM</v>
      </c>
      <c r="F999" t="str">
        <f>"R$ 4.143,03"</f>
        <v>R$ 4.143,03</v>
      </c>
      <c r="G999" t="str">
        <f>"R$ 4.971,63"</f>
        <v>R$ 4.971,63</v>
      </c>
      <c r="H999" t="str">
        <f t="shared" si="83"/>
        <v>R$ 0,00</v>
      </c>
      <c r="I999" t="str">
        <f>"R$ 4.971,63"</f>
        <v>R$ 4.971,63</v>
      </c>
      <c r="J999" t="str">
        <f>"R$ 1.223,29"</f>
        <v>R$ 1.223,29</v>
      </c>
      <c r="K999" t="str">
        <f>"R$ 3.748,34"</f>
        <v>R$ 3.748,34</v>
      </c>
    </row>
    <row r="1000" spans="1:11" x14ac:dyDescent="0.25">
      <c r="A1000" t="str">
        <f>"00054500 / 2"</f>
        <v>00054500 / 2</v>
      </c>
      <c r="B1000" t="str">
        <f>"13° Salário Anual"</f>
        <v>13° Salário Anual</v>
      </c>
      <c r="C1000" t="str">
        <f>"Maria Clara dos Santos Cardoso"</f>
        <v>Maria Clara dos Santos Cardoso</v>
      </c>
      <c r="D1000" t="str">
        <f>"INT TEMP CONTRIBUICAO"</f>
        <v>INT TEMP CONTRIBUICAO</v>
      </c>
      <c r="E1000" t="str">
        <f t="shared" ref="E1000:E1009" si="89">"Efetivo-Inativo I- RJUSM"</f>
        <v>Efetivo-Inativo I- RJUSM</v>
      </c>
      <c r="F1000" t="str">
        <f>"R$ 919,53"</f>
        <v>R$ 919,53</v>
      </c>
      <c r="G1000" t="str">
        <f>"R$ 1.100,00"</f>
        <v>R$ 1.100,00</v>
      </c>
      <c r="H1000" t="str">
        <f t="shared" si="83"/>
        <v>R$ 0,00</v>
      </c>
      <c r="I1000" t="str">
        <f>"R$ 1.100,00"</f>
        <v>R$ 1.100,00</v>
      </c>
      <c r="J1000" t="str">
        <f>"R$ 550,00"</f>
        <v>R$ 550,00</v>
      </c>
      <c r="K1000" t="str">
        <f>"R$ 550,00"</f>
        <v>R$ 550,00</v>
      </c>
    </row>
    <row r="1001" spans="1:11" x14ac:dyDescent="0.25">
      <c r="A1001" t="str">
        <f>"00054500 / 2"</f>
        <v>00054500 / 2</v>
      </c>
      <c r="B1001" t="str">
        <f>"Folha Mensal"</f>
        <v>Folha Mensal</v>
      </c>
      <c r="C1001" t="str">
        <f>"Maria Clara dos Santos Cardoso"</f>
        <v>Maria Clara dos Santos Cardoso</v>
      </c>
      <c r="D1001" t="str">
        <f>"INT TEMP CONTRIBUICAO"</f>
        <v>INT TEMP CONTRIBUICAO</v>
      </c>
      <c r="E1001" t="str">
        <f t="shared" si="89"/>
        <v>Efetivo-Inativo I- RJUSM</v>
      </c>
      <c r="F1001" t="str">
        <f>"R$ 919,53"</f>
        <v>R$ 919,53</v>
      </c>
      <c r="G1001" t="str">
        <f>"R$ 1.100,00"</f>
        <v>R$ 1.100,00</v>
      </c>
      <c r="H1001" t="str">
        <f t="shared" si="83"/>
        <v>R$ 0,00</v>
      </c>
      <c r="I1001" t="str">
        <f>"R$ 1.100,00"</f>
        <v>R$ 1.100,00</v>
      </c>
      <c r="J1001" t="str">
        <f>"R$ 0,00"</f>
        <v>R$ 0,00</v>
      </c>
      <c r="K1001" t="str">
        <f>"R$ 1.100,00"</f>
        <v>R$ 1.100,00</v>
      </c>
    </row>
    <row r="1002" spans="1:11" x14ac:dyDescent="0.25">
      <c r="A1002" t="str">
        <f>"00024880 / 1"</f>
        <v>00024880 / 1</v>
      </c>
      <c r="B1002" t="str">
        <f>"13° Salário Anual"</f>
        <v>13° Salário Anual</v>
      </c>
      <c r="C1002" t="str">
        <f>"Maria Coelho dos Santos"</f>
        <v>Maria Coelho dos Santos</v>
      </c>
      <c r="D1002" t="str">
        <f>"PROFESSOR"</f>
        <v>PROFESSOR</v>
      </c>
      <c r="E1002" t="str">
        <f t="shared" si="89"/>
        <v>Efetivo-Inativo I- RJUSM</v>
      </c>
      <c r="F1002" t="str">
        <f>"R$ 4.636,16"</f>
        <v>R$ 4.636,16</v>
      </c>
      <c r="G1002" t="str">
        <f>"R$ 6.027,00"</f>
        <v>R$ 6.027,00</v>
      </c>
      <c r="H1002" t="str">
        <f t="shared" si="83"/>
        <v>R$ 0,00</v>
      </c>
      <c r="I1002" t="str">
        <f>"R$ 6.027,00"</f>
        <v>R$ 6.027,00</v>
      </c>
      <c r="J1002" t="str">
        <f>"R$ 3.305,04"</f>
        <v>R$ 3.305,04</v>
      </c>
      <c r="K1002" t="str">
        <f>"R$ 2.721,96"</f>
        <v>R$ 2.721,96</v>
      </c>
    </row>
    <row r="1003" spans="1:11" x14ac:dyDescent="0.25">
      <c r="A1003" t="str">
        <f>"00024880 / 1"</f>
        <v>00024880 / 1</v>
      </c>
      <c r="B1003" t="str">
        <f>"Folha Mensal"</f>
        <v>Folha Mensal</v>
      </c>
      <c r="C1003" t="str">
        <f>"Maria Coelho dos Santos"</f>
        <v>Maria Coelho dos Santos</v>
      </c>
      <c r="D1003" t="str">
        <f>"PROFESSOR"</f>
        <v>PROFESSOR</v>
      </c>
      <c r="E1003" t="str">
        <f t="shared" si="89"/>
        <v>Efetivo-Inativo I- RJUSM</v>
      </c>
      <c r="F1003" t="str">
        <f>"R$ 4.636,16"</f>
        <v>R$ 4.636,16</v>
      </c>
      <c r="G1003" t="str">
        <f>"R$ 6.027,00"</f>
        <v>R$ 6.027,00</v>
      </c>
      <c r="H1003" t="str">
        <f t="shared" si="83"/>
        <v>R$ 0,00</v>
      </c>
      <c r="I1003" t="str">
        <f>"R$ 6.027,00"</f>
        <v>R$ 6.027,00</v>
      </c>
      <c r="J1003" t="str">
        <f>"R$ 1.826,22"</f>
        <v>R$ 1.826,22</v>
      </c>
      <c r="K1003" t="str">
        <f>"R$ 4.200,78"</f>
        <v>R$ 4.200,78</v>
      </c>
    </row>
    <row r="1004" spans="1:11" x14ac:dyDescent="0.25">
      <c r="A1004" t="str">
        <f>"00028495 / 1"</f>
        <v>00028495 / 1</v>
      </c>
      <c r="B1004" t="str">
        <f>"13° Salário Anual"</f>
        <v>13° Salário Anual</v>
      </c>
      <c r="C1004" t="str">
        <f>"Maria Consolacao da Silva Santos"</f>
        <v>Maria Consolacao da Silva Santos</v>
      </c>
      <c r="D1004" t="str">
        <f>"PROFESSOR"</f>
        <v>PROFESSOR</v>
      </c>
      <c r="E1004" t="str">
        <f t="shared" si="89"/>
        <v>Efetivo-Inativo I- RJUSM</v>
      </c>
      <c r="F1004" t="str">
        <f>"R$ 1.593,46"</f>
        <v>R$ 1.593,46</v>
      </c>
      <c r="G1004" t="str">
        <f>"R$ 1.991,82"</f>
        <v>R$ 1.991,82</v>
      </c>
      <c r="H1004" t="str">
        <f t="shared" si="83"/>
        <v>R$ 0,00</v>
      </c>
      <c r="I1004" t="str">
        <f>"R$ 1.991,82"</f>
        <v>R$ 1.991,82</v>
      </c>
      <c r="J1004" t="str">
        <f>"R$ 995,91"</f>
        <v>R$ 995,91</v>
      </c>
      <c r="K1004" t="str">
        <f>"R$ 995,91"</f>
        <v>R$ 995,91</v>
      </c>
    </row>
    <row r="1005" spans="1:11" x14ac:dyDescent="0.25">
      <c r="A1005" t="str">
        <f>"00028495 / 1"</f>
        <v>00028495 / 1</v>
      </c>
      <c r="B1005" t="str">
        <f>"Folha Mensal"</f>
        <v>Folha Mensal</v>
      </c>
      <c r="C1005" t="str">
        <f>"Maria Consolacao da Silva Santos"</f>
        <v>Maria Consolacao da Silva Santos</v>
      </c>
      <c r="D1005" t="str">
        <f>"PROFESSOR"</f>
        <v>PROFESSOR</v>
      </c>
      <c r="E1005" t="str">
        <f t="shared" si="89"/>
        <v>Efetivo-Inativo I- RJUSM</v>
      </c>
      <c r="F1005" t="str">
        <f>"R$ 1.593,46"</f>
        <v>R$ 1.593,46</v>
      </c>
      <c r="G1005" t="str">
        <f>"R$ 1.991,82"</f>
        <v>R$ 1.991,82</v>
      </c>
      <c r="H1005" t="str">
        <f t="shared" si="83"/>
        <v>R$ 0,00</v>
      </c>
      <c r="I1005" t="str">
        <f>"R$ 1.991,82"</f>
        <v>R$ 1.991,82</v>
      </c>
      <c r="J1005" t="str">
        <f>"R$ 94,26"</f>
        <v>R$ 94,26</v>
      </c>
      <c r="K1005" t="str">
        <f>"R$ 1.897,56"</f>
        <v>R$ 1.897,56</v>
      </c>
    </row>
    <row r="1006" spans="1:11" x14ac:dyDescent="0.25">
      <c r="A1006" t="str">
        <f>"00008397 / 1"</f>
        <v>00008397 / 1</v>
      </c>
      <c r="B1006" t="str">
        <f>"13° Salário Anual"</f>
        <v>13° Salário Anual</v>
      </c>
      <c r="C1006" t="str">
        <f>"Maria Cordovil da Silva"</f>
        <v>Maria Cordovil da Silva</v>
      </c>
      <c r="D1006" t="str">
        <f>"PROP IDADE"</f>
        <v>PROP IDADE</v>
      </c>
      <c r="E1006" t="str">
        <f t="shared" si="89"/>
        <v>Efetivo-Inativo I- RJUSM</v>
      </c>
      <c r="F1006" t="str">
        <f>"R$ 1.100,00"</f>
        <v>R$ 1.100,00</v>
      </c>
      <c r="G1006" t="str">
        <f>"R$ 1.100,00"</f>
        <v>R$ 1.100,00</v>
      </c>
      <c r="H1006" t="str">
        <f t="shared" si="83"/>
        <v>R$ 0,00</v>
      </c>
      <c r="I1006" t="str">
        <f>"R$ 1.100,00"</f>
        <v>R$ 1.100,00</v>
      </c>
      <c r="J1006" t="str">
        <f>"R$ 550,00"</f>
        <v>R$ 550,00</v>
      </c>
      <c r="K1006" t="str">
        <f>"R$ 550,00"</f>
        <v>R$ 550,00</v>
      </c>
    </row>
    <row r="1007" spans="1:11" x14ac:dyDescent="0.25">
      <c r="A1007" t="str">
        <f>"00008397 / 1"</f>
        <v>00008397 / 1</v>
      </c>
      <c r="B1007" t="str">
        <f>"Folha Mensal"</f>
        <v>Folha Mensal</v>
      </c>
      <c r="C1007" t="str">
        <f>"Maria Cordovil da Silva"</f>
        <v>Maria Cordovil da Silva</v>
      </c>
      <c r="D1007" t="str">
        <f>"PROP IDADE"</f>
        <v>PROP IDADE</v>
      </c>
      <c r="E1007" t="str">
        <f t="shared" si="89"/>
        <v>Efetivo-Inativo I- RJUSM</v>
      </c>
      <c r="F1007" t="str">
        <f>"R$ 1.100,00"</f>
        <v>R$ 1.100,00</v>
      </c>
      <c r="G1007" t="str">
        <f>"R$ 1.100,00"</f>
        <v>R$ 1.100,00</v>
      </c>
      <c r="H1007" t="str">
        <f t="shared" si="83"/>
        <v>R$ 0,00</v>
      </c>
      <c r="I1007" t="str">
        <f>"R$ 1.100,00"</f>
        <v>R$ 1.100,00</v>
      </c>
      <c r="J1007" t="str">
        <f>"R$ 262,80"</f>
        <v>R$ 262,80</v>
      </c>
      <c r="K1007" t="str">
        <f>"R$ 837,20"</f>
        <v>R$ 837,20</v>
      </c>
    </row>
    <row r="1008" spans="1:11" x14ac:dyDescent="0.25">
      <c r="A1008" t="str">
        <f>"00007471 / 1"</f>
        <v>00007471 / 1</v>
      </c>
      <c r="B1008" t="str">
        <f>"13° Salário Anual"</f>
        <v>13° Salário Anual</v>
      </c>
      <c r="C1008" t="str">
        <f>"Maria da Conceicao Amaral Bezerra"</f>
        <v>Maria da Conceicao Amaral Bezerra</v>
      </c>
      <c r="D1008" t="str">
        <f>"PROFESSOR"</f>
        <v>PROFESSOR</v>
      </c>
      <c r="E1008" t="str">
        <f t="shared" si="89"/>
        <v>Efetivo-Inativo I- RJUSM</v>
      </c>
      <c r="F1008" t="str">
        <f>"R$ 1.593,46"</f>
        <v>R$ 1.593,46</v>
      </c>
      <c r="G1008" t="str">
        <f>"R$ 1.991,82"</f>
        <v>R$ 1.991,82</v>
      </c>
      <c r="H1008" t="str">
        <f t="shared" si="83"/>
        <v>R$ 0,00</v>
      </c>
      <c r="I1008" t="str">
        <f>"R$ 1.991,82"</f>
        <v>R$ 1.991,82</v>
      </c>
      <c r="J1008" t="str">
        <f>"R$ 995,91"</f>
        <v>R$ 995,91</v>
      </c>
      <c r="K1008" t="str">
        <f>"R$ 995,91"</f>
        <v>R$ 995,91</v>
      </c>
    </row>
    <row r="1009" spans="1:11" x14ac:dyDescent="0.25">
      <c r="A1009" t="str">
        <f>"00007471 / 1"</f>
        <v>00007471 / 1</v>
      </c>
      <c r="B1009" t="str">
        <f>"Folha Mensal"</f>
        <v>Folha Mensal</v>
      </c>
      <c r="C1009" t="str">
        <f>"Maria da Conceicao Amaral Bezerra"</f>
        <v>Maria da Conceicao Amaral Bezerra</v>
      </c>
      <c r="D1009" t="str">
        <f>"PROFESSOR"</f>
        <v>PROFESSOR</v>
      </c>
      <c r="E1009" t="str">
        <f t="shared" si="89"/>
        <v>Efetivo-Inativo I- RJUSM</v>
      </c>
      <c r="F1009" t="str">
        <f>"R$ 1.593,46"</f>
        <v>R$ 1.593,46</v>
      </c>
      <c r="G1009" t="str">
        <f>"R$ 1.991,82"</f>
        <v>R$ 1.991,82</v>
      </c>
      <c r="H1009" t="str">
        <f t="shared" si="83"/>
        <v>R$ 0,00</v>
      </c>
      <c r="I1009" t="str">
        <f>"R$ 1.991,82"</f>
        <v>R$ 1.991,82</v>
      </c>
      <c r="J1009" t="str">
        <f>"R$ 676,11"</f>
        <v>R$ 676,11</v>
      </c>
      <c r="K1009" t="str">
        <f>"R$ 1.315,71"</f>
        <v>R$ 1.315,71</v>
      </c>
    </row>
    <row r="1010" spans="1:11" x14ac:dyDescent="0.25">
      <c r="A1010" t="str">
        <f>"00026964 / 1"</f>
        <v>00026964 / 1</v>
      </c>
      <c r="B1010" t="str">
        <f>"13° Salário Anual"</f>
        <v>13° Salário Anual</v>
      </c>
      <c r="C1010" t="str">
        <f>"Maria da Conceicao Andrade Lopes"</f>
        <v>Maria da Conceicao Andrade Lopes</v>
      </c>
      <c r="D1010" t="str">
        <f>"PROFESSOR NIVEL I"</f>
        <v>PROFESSOR NIVEL I</v>
      </c>
      <c r="E1010" t="str">
        <f>"Efetivo-Inativos II-RJUSM"</f>
        <v>Efetivo-Inativos II-RJUSM</v>
      </c>
      <c r="F1010" t="str">
        <f>"R$ 3.585,30"</f>
        <v>R$ 3.585,30</v>
      </c>
      <c r="G1010" t="str">
        <f>"R$ 4.660,89"</f>
        <v>R$ 4.660,89</v>
      </c>
      <c r="H1010" t="str">
        <f t="shared" ref="H1010:H1073" si="90">"R$ 0,00"</f>
        <v>R$ 0,00</v>
      </c>
      <c r="I1010" t="str">
        <f>"R$ 4.660,89"</f>
        <v>R$ 4.660,89</v>
      </c>
      <c r="J1010" t="str">
        <f>"R$ 2.380,18"</f>
        <v>R$ 2.380,18</v>
      </c>
      <c r="K1010" t="str">
        <f>"R$ 2.280,71"</f>
        <v>R$ 2.280,71</v>
      </c>
    </row>
    <row r="1011" spans="1:11" x14ac:dyDescent="0.25">
      <c r="A1011" t="str">
        <f>"00026964 / 1"</f>
        <v>00026964 / 1</v>
      </c>
      <c r="B1011" t="str">
        <f>"Folha Mensal"</f>
        <v>Folha Mensal</v>
      </c>
      <c r="C1011" t="str">
        <f>"Maria da Conceicao Andrade Lopes"</f>
        <v>Maria da Conceicao Andrade Lopes</v>
      </c>
      <c r="D1011" t="str">
        <f>"PROFESSOR NIVEL I"</f>
        <v>PROFESSOR NIVEL I</v>
      </c>
      <c r="E1011" t="str">
        <f>"Efetivo-Inativos II-RJUSM"</f>
        <v>Efetivo-Inativos II-RJUSM</v>
      </c>
      <c r="F1011" t="str">
        <f>"R$ 3.585,30"</f>
        <v>R$ 3.585,30</v>
      </c>
      <c r="G1011" t="str">
        <f>"R$ 4.660,89"</f>
        <v>R$ 4.660,89</v>
      </c>
      <c r="H1011" t="str">
        <f t="shared" si="90"/>
        <v>R$ 0,00</v>
      </c>
      <c r="I1011" t="str">
        <f>"R$ 4.660,89"</f>
        <v>R$ 4.660,89</v>
      </c>
      <c r="J1011" t="str">
        <f>"R$ 49,74"</f>
        <v>R$ 49,74</v>
      </c>
      <c r="K1011" t="str">
        <f>"R$ 4.611,15"</f>
        <v>R$ 4.611,15</v>
      </c>
    </row>
    <row r="1012" spans="1:11" x14ac:dyDescent="0.25">
      <c r="A1012" t="str">
        <f>"00052450 / 1"</f>
        <v>00052450 / 1</v>
      </c>
      <c r="B1012" t="str">
        <f>"13° Salário Anual"</f>
        <v>13° Salário Anual</v>
      </c>
      <c r="C1012" t="str">
        <f>"Maria da Conceicao Canto Leao"</f>
        <v>Maria da Conceicao Canto Leao</v>
      </c>
      <c r="D1012" t="str">
        <f>"PROFESSOR NIVEL II"</f>
        <v>PROFESSOR NIVEL II</v>
      </c>
      <c r="E1012" t="str">
        <f>"Efetivo-Inativos II-RJUSM"</f>
        <v>Efetivo-Inativos II-RJUSM</v>
      </c>
      <c r="F1012" t="str">
        <f>"R$ 5.417,82"</f>
        <v>R$ 5.417,82</v>
      </c>
      <c r="G1012" t="str">
        <f>"R$ 6.772,27"</f>
        <v>R$ 6.772,27</v>
      </c>
      <c r="H1012" t="str">
        <f t="shared" si="90"/>
        <v>R$ 0,00</v>
      </c>
      <c r="I1012" t="str">
        <f>"R$ 6.772,27"</f>
        <v>R$ 6.772,27</v>
      </c>
      <c r="J1012" t="str">
        <f>"R$ 3.923,67"</f>
        <v>R$ 3.923,67</v>
      </c>
      <c r="K1012" t="str">
        <f>"R$ 2.848,60"</f>
        <v>R$ 2.848,60</v>
      </c>
    </row>
    <row r="1013" spans="1:11" x14ac:dyDescent="0.25">
      <c r="A1013" t="str">
        <f>"00052450 / 1"</f>
        <v>00052450 / 1</v>
      </c>
      <c r="B1013" t="str">
        <f>"Folha Mensal"</f>
        <v>Folha Mensal</v>
      </c>
      <c r="C1013" t="str">
        <f>"Maria da Conceicao Canto Leao"</f>
        <v>Maria da Conceicao Canto Leao</v>
      </c>
      <c r="D1013" t="str">
        <f>"PROFESSOR NIVEL II"</f>
        <v>PROFESSOR NIVEL II</v>
      </c>
      <c r="E1013" t="str">
        <f>"Efetivo-Inativos II-RJUSM"</f>
        <v>Efetivo-Inativos II-RJUSM</v>
      </c>
      <c r="F1013" t="str">
        <f>"R$ 5.417,82"</f>
        <v>R$ 5.417,82</v>
      </c>
      <c r="G1013" t="str">
        <f>"R$ 6.772,27"</f>
        <v>R$ 6.772,27</v>
      </c>
      <c r="H1013" t="str">
        <f t="shared" si="90"/>
        <v>R$ 0,00</v>
      </c>
      <c r="I1013" t="str">
        <f>"R$ 6.772,27"</f>
        <v>R$ 6.772,27</v>
      </c>
      <c r="J1013" t="str">
        <f>"R$ 2.650,93"</f>
        <v>R$ 2.650,93</v>
      </c>
      <c r="K1013" t="str">
        <f>"R$ 4.121,34"</f>
        <v>R$ 4.121,34</v>
      </c>
    </row>
    <row r="1014" spans="1:11" x14ac:dyDescent="0.25">
      <c r="A1014" t="str">
        <f>"03643050 / 1"</f>
        <v>03643050 / 1</v>
      </c>
      <c r="B1014" t="str">
        <f>"13° Salário Anual"</f>
        <v>13° Salário Anual</v>
      </c>
      <c r="C1014" t="str">
        <f>"Maria da Conceicao da Silva Leal"</f>
        <v>Maria da Conceicao da Silva Leal</v>
      </c>
      <c r="D1014" t="str">
        <f>"PENSIONISTA"</f>
        <v>PENSIONISTA</v>
      </c>
      <c r="E1014" t="str">
        <f>"Pensionista"</f>
        <v>Pensionista</v>
      </c>
      <c r="F1014" t="str">
        <f>"R$ 1.100,00"</f>
        <v>R$ 1.100,00</v>
      </c>
      <c r="G1014" t="str">
        <f>"R$ 1.320,00"</f>
        <v>R$ 1.320,00</v>
      </c>
      <c r="H1014" t="str">
        <f t="shared" si="90"/>
        <v>R$ 0,00</v>
      </c>
      <c r="I1014" t="str">
        <f>"R$ 1.320,00"</f>
        <v>R$ 1.320,00</v>
      </c>
      <c r="J1014" t="str">
        <f>"R$ 660,00"</f>
        <v>R$ 660,00</v>
      </c>
      <c r="K1014" t="str">
        <f>"R$ 660,00"</f>
        <v>R$ 660,00</v>
      </c>
    </row>
    <row r="1015" spans="1:11" x14ac:dyDescent="0.25">
      <c r="A1015" t="str">
        <f>"03643050 / 1"</f>
        <v>03643050 / 1</v>
      </c>
      <c r="B1015" t="str">
        <f>"Folha Mensal"</f>
        <v>Folha Mensal</v>
      </c>
      <c r="C1015" t="str">
        <f>"Maria da Conceicao da Silva Leal"</f>
        <v>Maria da Conceicao da Silva Leal</v>
      </c>
      <c r="D1015" t="str">
        <f>"PENSIONISTA"</f>
        <v>PENSIONISTA</v>
      </c>
      <c r="E1015" t="str">
        <f>"Pensionista"</f>
        <v>Pensionista</v>
      </c>
      <c r="F1015" t="str">
        <f>"R$ 1.100,00"</f>
        <v>R$ 1.100,00</v>
      </c>
      <c r="G1015" t="str">
        <f>"R$ 1.320,00"</f>
        <v>R$ 1.320,00</v>
      </c>
      <c r="H1015" t="str">
        <f t="shared" si="90"/>
        <v>R$ 0,00</v>
      </c>
      <c r="I1015" t="str">
        <f>"R$ 1.320,00"</f>
        <v>R$ 1.320,00</v>
      </c>
      <c r="J1015" t="str">
        <f>"R$ 0,00"</f>
        <v>R$ 0,00</v>
      </c>
      <c r="K1015" t="str">
        <f>"R$ 1.320,00"</f>
        <v>R$ 1.320,00</v>
      </c>
    </row>
    <row r="1016" spans="1:11" x14ac:dyDescent="0.25">
      <c r="A1016" t="str">
        <f>"00024287 / 1"</f>
        <v>00024287 / 1</v>
      </c>
      <c r="B1016" t="str">
        <f>"13° Salário Anual"</f>
        <v>13° Salário Anual</v>
      </c>
      <c r="C1016" t="str">
        <f>"Maria da Conceicao de Oliveira Pantoja"</f>
        <v>Maria da Conceicao de Oliveira Pantoja</v>
      </c>
      <c r="D1016" t="str">
        <f t="shared" ref="D1016:D1027" si="91">"PROFESSOR"</f>
        <v>PROFESSOR</v>
      </c>
      <c r="E1016" t="str">
        <f t="shared" ref="E1016:E1041" si="92">"Efetivo-Inativo I- RJUSM"</f>
        <v>Efetivo-Inativo I- RJUSM</v>
      </c>
      <c r="F1016" t="str">
        <f>"R$ 2.230,85"</f>
        <v>R$ 2.230,85</v>
      </c>
      <c r="G1016" t="str">
        <f>"R$ 2.900,10"</f>
        <v>R$ 2.900,10</v>
      </c>
      <c r="H1016" t="str">
        <f t="shared" si="90"/>
        <v>R$ 0,00</v>
      </c>
      <c r="I1016" t="str">
        <f>"R$ 2.900,10"</f>
        <v>R$ 2.900,10</v>
      </c>
      <c r="J1016" t="str">
        <f>"R$ 1.530,26"</f>
        <v>R$ 1.530,26</v>
      </c>
      <c r="K1016" t="str">
        <f>"R$ 1.369,84"</f>
        <v>R$ 1.369,84</v>
      </c>
    </row>
    <row r="1017" spans="1:11" x14ac:dyDescent="0.25">
      <c r="A1017" t="str">
        <f>"00024287 / 1"</f>
        <v>00024287 / 1</v>
      </c>
      <c r="B1017" t="str">
        <f>"Folha Mensal"</f>
        <v>Folha Mensal</v>
      </c>
      <c r="C1017" t="str">
        <f>"Maria da Conceicao de Oliveira Pantoja"</f>
        <v>Maria da Conceicao de Oliveira Pantoja</v>
      </c>
      <c r="D1017" t="str">
        <f t="shared" si="91"/>
        <v>PROFESSOR</v>
      </c>
      <c r="E1017" t="str">
        <f t="shared" si="92"/>
        <v>Efetivo-Inativo I- RJUSM</v>
      </c>
      <c r="F1017" t="str">
        <f>"R$ 2.230,85"</f>
        <v>R$ 2.230,85</v>
      </c>
      <c r="G1017" t="str">
        <f>"R$ 2.900,10"</f>
        <v>R$ 2.900,10</v>
      </c>
      <c r="H1017" t="str">
        <f t="shared" si="90"/>
        <v>R$ 0,00</v>
      </c>
      <c r="I1017" t="str">
        <f>"R$ 2.900,10"</f>
        <v>R$ 2.900,10</v>
      </c>
      <c r="J1017" t="str">
        <f>"R$ 921,33"</f>
        <v>R$ 921,33</v>
      </c>
      <c r="K1017" t="str">
        <f>"R$ 1.978,77"</f>
        <v>R$ 1.978,77</v>
      </c>
    </row>
    <row r="1018" spans="1:11" x14ac:dyDescent="0.25">
      <c r="A1018" t="str">
        <f>"00002453 / 1"</f>
        <v>00002453 / 1</v>
      </c>
      <c r="B1018" t="str">
        <f>"13° Salário Anual"</f>
        <v>13° Salário Anual</v>
      </c>
      <c r="C1018" t="str">
        <f>"Maria da Conceicao Freitas Marciel"</f>
        <v>Maria da Conceicao Freitas Marciel</v>
      </c>
      <c r="D1018" t="str">
        <f t="shared" si="91"/>
        <v>PROFESSOR</v>
      </c>
      <c r="E1018" t="str">
        <f t="shared" si="92"/>
        <v>Efetivo-Inativo I- RJUSM</v>
      </c>
      <c r="F1018" t="str">
        <f>"R$ 2.310,53"</f>
        <v>R$ 2.310,53</v>
      </c>
      <c r="G1018" t="str">
        <f>"R$ 3.003,68"</f>
        <v>R$ 3.003,68</v>
      </c>
      <c r="H1018" t="str">
        <f t="shared" si="90"/>
        <v>R$ 0,00</v>
      </c>
      <c r="I1018" t="str">
        <f>"R$ 3.003,68"</f>
        <v>R$ 3.003,68</v>
      </c>
      <c r="J1018" t="str">
        <f>"R$ 1.103,99"</f>
        <v>R$ 1.103,99</v>
      </c>
      <c r="K1018" t="str">
        <f>"R$ 1.899,69"</f>
        <v>R$ 1.899,69</v>
      </c>
    </row>
    <row r="1019" spans="1:11" x14ac:dyDescent="0.25">
      <c r="A1019" t="str">
        <f>"00002453 / 1"</f>
        <v>00002453 / 1</v>
      </c>
      <c r="B1019" t="str">
        <f>"Folha Mensal"</f>
        <v>Folha Mensal</v>
      </c>
      <c r="C1019" t="str">
        <f>"Maria da Conceicao Freitas Marciel"</f>
        <v>Maria da Conceicao Freitas Marciel</v>
      </c>
      <c r="D1019" t="str">
        <f t="shared" si="91"/>
        <v>PROFESSOR</v>
      </c>
      <c r="E1019" t="str">
        <f t="shared" si="92"/>
        <v>Efetivo-Inativo I- RJUSM</v>
      </c>
      <c r="F1019" t="str">
        <f>"R$ 2.310,53"</f>
        <v>R$ 2.310,53</v>
      </c>
      <c r="G1019" t="str">
        <f>"R$ 3.003,68"</f>
        <v>R$ 3.003,68</v>
      </c>
      <c r="H1019" t="str">
        <f t="shared" si="90"/>
        <v>R$ 0,00</v>
      </c>
      <c r="I1019" t="str">
        <f>"R$ 3.003,68"</f>
        <v>R$ 3.003,68</v>
      </c>
      <c r="J1019" t="str">
        <f>"R$ 789,77"</f>
        <v>R$ 789,77</v>
      </c>
      <c r="K1019" t="str">
        <f>"R$ 2.213,91"</f>
        <v>R$ 2.213,91</v>
      </c>
    </row>
    <row r="1020" spans="1:11" x14ac:dyDescent="0.25">
      <c r="A1020" t="str">
        <f>"00000213 / 1"</f>
        <v>00000213 / 1</v>
      </c>
      <c r="B1020" t="str">
        <f>"13° Salário Anual"</f>
        <v>13° Salário Anual</v>
      </c>
      <c r="C1020" t="str">
        <f>"Maria da Conceicao Matos Peixoto"</f>
        <v>Maria da Conceicao Matos Peixoto</v>
      </c>
      <c r="D1020" t="str">
        <f t="shared" si="91"/>
        <v>PROFESSOR</v>
      </c>
      <c r="E1020" t="str">
        <f t="shared" si="92"/>
        <v>Efetivo-Inativo I- RJUSM</v>
      </c>
      <c r="F1020" t="str">
        <f t="shared" ref="F1020:F1027" si="93">"R$ 1.593,46"</f>
        <v>R$ 1.593,46</v>
      </c>
      <c r="G1020" t="str">
        <f>"R$ 1.832,47"</f>
        <v>R$ 1.832,47</v>
      </c>
      <c r="H1020" t="str">
        <f t="shared" si="90"/>
        <v>R$ 0,00</v>
      </c>
      <c r="I1020" t="str">
        <f>"R$ 1.832,47"</f>
        <v>R$ 1.832,47</v>
      </c>
      <c r="J1020" t="str">
        <f>"R$ 916,23"</f>
        <v>R$ 916,23</v>
      </c>
      <c r="K1020" t="str">
        <f>"R$ 916,24"</f>
        <v>R$ 916,24</v>
      </c>
    </row>
    <row r="1021" spans="1:11" x14ac:dyDescent="0.25">
      <c r="A1021" t="str">
        <f>"00000213 / 1"</f>
        <v>00000213 / 1</v>
      </c>
      <c r="B1021" t="str">
        <f>"Folha Mensal"</f>
        <v>Folha Mensal</v>
      </c>
      <c r="C1021" t="str">
        <f>"Maria da Conceicao Matos Peixoto"</f>
        <v>Maria da Conceicao Matos Peixoto</v>
      </c>
      <c r="D1021" t="str">
        <f t="shared" si="91"/>
        <v>PROFESSOR</v>
      </c>
      <c r="E1021" t="str">
        <f t="shared" si="92"/>
        <v>Efetivo-Inativo I- RJUSM</v>
      </c>
      <c r="F1021" t="str">
        <f t="shared" si="93"/>
        <v>R$ 1.593,46</v>
      </c>
      <c r="G1021" t="str">
        <f>"R$ 1.832,47"</f>
        <v>R$ 1.832,47</v>
      </c>
      <c r="H1021" t="str">
        <f t="shared" si="90"/>
        <v>R$ 0,00</v>
      </c>
      <c r="I1021" t="str">
        <f>"R$ 1.832,47"</f>
        <v>R$ 1.832,47</v>
      </c>
      <c r="J1021" t="str">
        <f>"R$ 546,41"</f>
        <v>R$ 546,41</v>
      </c>
      <c r="K1021" t="str">
        <f>"R$ 1.286,06"</f>
        <v>R$ 1.286,06</v>
      </c>
    </row>
    <row r="1022" spans="1:11" x14ac:dyDescent="0.25">
      <c r="A1022" t="str">
        <f>"00023949 / 1"</f>
        <v>00023949 / 1</v>
      </c>
      <c r="B1022" t="str">
        <f>"13° Salário Anual"</f>
        <v>13° Salário Anual</v>
      </c>
      <c r="C1022" t="str">
        <f>"Maria da Conceicao Rodrigues Mendes"</f>
        <v>Maria da Conceicao Rodrigues Mendes</v>
      </c>
      <c r="D1022" t="str">
        <f t="shared" si="91"/>
        <v>PROFESSOR</v>
      </c>
      <c r="E1022" t="str">
        <f t="shared" si="92"/>
        <v>Efetivo-Inativo I- RJUSM</v>
      </c>
      <c r="F1022" t="str">
        <f t="shared" si="93"/>
        <v>R$ 1.593,46</v>
      </c>
      <c r="G1022" t="str">
        <f t="shared" ref="G1022:G1027" si="94">"R$ 1.991,82"</f>
        <v>R$ 1.991,82</v>
      </c>
      <c r="H1022" t="str">
        <f t="shared" si="90"/>
        <v>R$ 0,00</v>
      </c>
      <c r="I1022" t="str">
        <f t="shared" ref="I1022:I1027" si="95">"R$ 1.991,82"</f>
        <v>R$ 1.991,82</v>
      </c>
      <c r="J1022" t="str">
        <f>"R$ 995,91"</f>
        <v>R$ 995,91</v>
      </c>
      <c r="K1022" t="str">
        <f>"R$ 995,91"</f>
        <v>R$ 995,91</v>
      </c>
    </row>
    <row r="1023" spans="1:11" x14ac:dyDescent="0.25">
      <c r="A1023" t="str">
        <f>"00023949 / 1"</f>
        <v>00023949 / 1</v>
      </c>
      <c r="B1023" t="str">
        <f>"Folha Mensal"</f>
        <v>Folha Mensal</v>
      </c>
      <c r="C1023" t="str">
        <f>"Maria da Conceicao Rodrigues Mendes"</f>
        <v>Maria da Conceicao Rodrigues Mendes</v>
      </c>
      <c r="D1023" t="str">
        <f t="shared" si="91"/>
        <v>PROFESSOR</v>
      </c>
      <c r="E1023" t="str">
        <f t="shared" si="92"/>
        <v>Efetivo-Inativo I- RJUSM</v>
      </c>
      <c r="F1023" t="str">
        <f t="shared" si="93"/>
        <v>R$ 1.593,46</v>
      </c>
      <c r="G1023" t="str">
        <f t="shared" si="94"/>
        <v>R$ 1.991,82</v>
      </c>
      <c r="H1023" t="str">
        <f t="shared" si="90"/>
        <v>R$ 0,00</v>
      </c>
      <c r="I1023" t="str">
        <f t="shared" si="95"/>
        <v>R$ 1.991,82</v>
      </c>
      <c r="J1023" t="str">
        <f>"R$ 0,00"</f>
        <v>R$ 0,00</v>
      </c>
      <c r="K1023" t="str">
        <f>"R$ 1.991,82"</f>
        <v>R$ 1.991,82</v>
      </c>
    </row>
    <row r="1024" spans="1:11" x14ac:dyDescent="0.25">
      <c r="A1024" t="str">
        <f>"00027693 / 1"</f>
        <v>00027693 / 1</v>
      </c>
      <c r="B1024" t="str">
        <f>"13° Salário Anual"</f>
        <v>13° Salário Anual</v>
      </c>
      <c r="C1024" t="str">
        <f>"Maria da Conceicao Silva Brabo"</f>
        <v>Maria da Conceicao Silva Brabo</v>
      </c>
      <c r="D1024" t="str">
        <f t="shared" si="91"/>
        <v>PROFESSOR</v>
      </c>
      <c r="E1024" t="str">
        <f t="shared" si="92"/>
        <v>Efetivo-Inativo I- RJUSM</v>
      </c>
      <c r="F1024" t="str">
        <f t="shared" si="93"/>
        <v>R$ 1.593,46</v>
      </c>
      <c r="G1024" t="str">
        <f t="shared" si="94"/>
        <v>R$ 1.991,82</v>
      </c>
      <c r="H1024" t="str">
        <f t="shared" si="90"/>
        <v>R$ 0,00</v>
      </c>
      <c r="I1024" t="str">
        <f t="shared" si="95"/>
        <v>R$ 1.991,82</v>
      </c>
      <c r="J1024" t="str">
        <f>"R$ 995,91"</f>
        <v>R$ 995,91</v>
      </c>
      <c r="K1024" t="str">
        <f>"R$ 995,91"</f>
        <v>R$ 995,91</v>
      </c>
    </row>
    <row r="1025" spans="1:11" x14ac:dyDescent="0.25">
      <c r="A1025" t="str">
        <f>"00027693 / 1"</f>
        <v>00027693 / 1</v>
      </c>
      <c r="B1025" t="str">
        <f>"Folha Mensal"</f>
        <v>Folha Mensal</v>
      </c>
      <c r="C1025" t="str">
        <f>"Maria da Conceicao Silva Brabo"</f>
        <v>Maria da Conceicao Silva Brabo</v>
      </c>
      <c r="D1025" t="str">
        <f t="shared" si="91"/>
        <v>PROFESSOR</v>
      </c>
      <c r="E1025" t="str">
        <f t="shared" si="92"/>
        <v>Efetivo-Inativo I- RJUSM</v>
      </c>
      <c r="F1025" t="str">
        <f t="shared" si="93"/>
        <v>R$ 1.593,46</v>
      </c>
      <c r="G1025" t="str">
        <f t="shared" si="94"/>
        <v>R$ 1.991,82</v>
      </c>
      <c r="H1025" t="str">
        <f t="shared" si="90"/>
        <v>R$ 0,00</v>
      </c>
      <c r="I1025" t="str">
        <f t="shared" si="95"/>
        <v>R$ 1.991,82</v>
      </c>
      <c r="J1025" t="str">
        <f>"R$ 0,00"</f>
        <v>R$ 0,00</v>
      </c>
      <c r="K1025" t="str">
        <f>"R$ 1.991,82"</f>
        <v>R$ 1.991,82</v>
      </c>
    </row>
    <row r="1026" spans="1:11" x14ac:dyDescent="0.25">
      <c r="A1026" t="str">
        <f>"00032719 / 1"</f>
        <v>00032719 / 1</v>
      </c>
      <c r="B1026" t="str">
        <f>"13° Salário Anual"</f>
        <v>13° Salário Anual</v>
      </c>
      <c r="C1026" t="str">
        <f>"Maria da Consolacao de Paula da Silva"</f>
        <v>Maria da Consolacao de Paula da Silva</v>
      </c>
      <c r="D1026" t="str">
        <f t="shared" si="91"/>
        <v>PROFESSOR</v>
      </c>
      <c r="E1026" t="str">
        <f t="shared" si="92"/>
        <v>Efetivo-Inativo I- RJUSM</v>
      </c>
      <c r="F1026" t="str">
        <f t="shared" si="93"/>
        <v>R$ 1.593,46</v>
      </c>
      <c r="G1026" t="str">
        <f t="shared" si="94"/>
        <v>R$ 1.991,82</v>
      </c>
      <c r="H1026" t="str">
        <f t="shared" si="90"/>
        <v>R$ 0,00</v>
      </c>
      <c r="I1026" t="str">
        <f t="shared" si="95"/>
        <v>R$ 1.991,82</v>
      </c>
      <c r="J1026" t="str">
        <f>"R$ 995,91"</f>
        <v>R$ 995,91</v>
      </c>
      <c r="K1026" t="str">
        <f>"R$ 995,91"</f>
        <v>R$ 995,91</v>
      </c>
    </row>
    <row r="1027" spans="1:11" x14ac:dyDescent="0.25">
      <c r="A1027" t="str">
        <f>"00032719 / 1"</f>
        <v>00032719 / 1</v>
      </c>
      <c r="B1027" t="str">
        <f>"Folha Mensal"</f>
        <v>Folha Mensal</v>
      </c>
      <c r="C1027" t="str">
        <f>"Maria da Consolacao de Paula da Silva"</f>
        <v>Maria da Consolacao de Paula da Silva</v>
      </c>
      <c r="D1027" t="str">
        <f t="shared" si="91"/>
        <v>PROFESSOR</v>
      </c>
      <c r="E1027" t="str">
        <f t="shared" si="92"/>
        <v>Efetivo-Inativo I- RJUSM</v>
      </c>
      <c r="F1027" t="str">
        <f t="shared" si="93"/>
        <v>R$ 1.593,46</v>
      </c>
      <c r="G1027" t="str">
        <f t="shared" si="94"/>
        <v>R$ 1.991,82</v>
      </c>
      <c r="H1027" t="str">
        <f t="shared" si="90"/>
        <v>R$ 0,00</v>
      </c>
      <c r="I1027" t="str">
        <f t="shared" si="95"/>
        <v>R$ 1.991,82</v>
      </c>
      <c r="J1027" t="str">
        <f>"R$ 0,00"</f>
        <v>R$ 0,00</v>
      </c>
      <c r="K1027" t="str">
        <f>"R$ 1.991,82"</f>
        <v>R$ 1.991,82</v>
      </c>
    </row>
    <row r="1028" spans="1:11" x14ac:dyDescent="0.25">
      <c r="A1028" t="str">
        <f>"00003735 / 1"</f>
        <v>00003735 / 1</v>
      </c>
      <c r="B1028" t="str">
        <f>"13° Salário Anual"</f>
        <v>13° Salário Anual</v>
      </c>
      <c r="C1028" t="str">
        <f>"Maria da Gloria Arruda Romao"</f>
        <v>Maria da Gloria Arruda Romao</v>
      </c>
      <c r="D1028" t="str">
        <f>"PROP IDADE"</f>
        <v>PROP IDADE</v>
      </c>
      <c r="E1028" t="str">
        <f t="shared" si="92"/>
        <v>Efetivo-Inativo I- RJUSM</v>
      </c>
      <c r="F1028" t="str">
        <f>"R$ 1.100,00"</f>
        <v>R$ 1.100,00</v>
      </c>
      <c r="G1028" t="str">
        <f>"R$ 1.100,00"</f>
        <v>R$ 1.100,00</v>
      </c>
      <c r="H1028" t="str">
        <f t="shared" si="90"/>
        <v>R$ 0,00</v>
      </c>
      <c r="I1028" t="str">
        <f>"R$ 1.100,00"</f>
        <v>R$ 1.100,00</v>
      </c>
      <c r="J1028" t="str">
        <f>"R$ 550,00"</f>
        <v>R$ 550,00</v>
      </c>
      <c r="K1028" t="str">
        <f>"R$ 550,00"</f>
        <v>R$ 550,00</v>
      </c>
    </row>
    <row r="1029" spans="1:11" x14ac:dyDescent="0.25">
      <c r="A1029" t="str">
        <f>"00003735 / 1"</f>
        <v>00003735 / 1</v>
      </c>
      <c r="B1029" t="str">
        <f>"Folha Mensal"</f>
        <v>Folha Mensal</v>
      </c>
      <c r="C1029" t="str">
        <f>"Maria da Gloria Arruda Romao"</f>
        <v>Maria da Gloria Arruda Romao</v>
      </c>
      <c r="D1029" t="str">
        <f>"PROP IDADE"</f>
        <v>PROP IDADE</v>
      </c>
      <c r="E1029" t="str">
        <f t="shared" si="92"/>
        <v>Efetivo-Inativo I- RJUSM</v>
      </c>
      <c r="F1029" t="str">
        <f>"R$ 1.100,00"</f>
        <v>R$ 1.100,00</v>
      </c>
      <c r="G1029" t="str">
        <f>"R$ 1.100,00"</f>
        <v>R$ 1.100,00</v>
      </c>
      <c r="H1029" t="str">
        <f t="shared" si="90"/>
        <v>R$ 0,00</v>
      </c>
      <c r="I1029" t="str">
        <f>"R$ 1.100,00"</f>
        <v>R$ 1.100,00</v>
      </c>
      <c r="J1029" t="str">
        <f>"R$ 0,00"</f>
        <v>R$ 0,00</v>
      </c>
      <c r="K1029" t="str">
        <f>"R$ 1.100,00"</f>
        <v>R$ 1.100,00</v>
      </c>
    </row>
    <row r="1030" spans="1:11" x14ac:dyDescent="0.25">
      <c r="A1030" t="str">
        <f>"00052060 / 2"</f>
        <v>00052060 / 2</v>
      </c>
      <c r="B1030" t="str">
        <f>"13° Salário Anual"</f>
        <v>13° Salário Anual</v>
      </c>
      <c r="C1030" t="str">
        <f>"Maria da Gloria de Aquino Coelho"</f>
        <v>Maria da Gloria de Aquino Coelho</v>
      </c>
      <c r="D1030" t="str">
        <f>"PROFESSOR"</f>
        <v>PROFESSOR</v>
      </c>
      <c r="E1030" t="str">
        <f t="shared" si="92"/>
        <v>Efetivo-Inativo I- RJUSM</v>
      </c>
      <c r="F1030" t="str">
        <f>"R$ 3.825,11"</f>
        <v>R$ 3.825,11</v>
      </c>
      <c r="G1030" t="str">
        <f>"R$ 4.398,87"</f>
        <v>R$ 4.398,87</v>
      </c>
      <c r="H1030" t="str">
        <f t="shared" si="90"/>
        <v>R$ 0,00</v>
      </c>
      <c r="I1030" t="str">
        <f>"R$ 4.398,87"</f>
        <v>R$ 4.398,87</v>
      </c>
      <c r="J1030" t="str">
        <f>"R$ 2.229,52"</f>
        <v>R$ 2.229,52</v>
      </c>
      <c r="K1030" t="str">
        <f>"R$ 2.169,35"</f>
        <v>R$ 2.169,35</v>
      </c>
    </row>
    <row r="1031" spans="1:11" x14ac:dyDescent="0.25">
      <c r="A1031" t="str">
        <f>"00052060 / 2"</f>
        <v>00052060 / 2</v>
      </c>
      <c r="B1031" t="str">
        <f>"Folha Mensal"</f>
        <v>Folha Mensal</v>
      </c>
      <c r="C1031" t="str">
        <f>"Maria da Gloria de Aquino Coelho"</f>
        <v>Maria da Gloria de Aquino Coelho</v>
      </c>
      <c r="D1031" t="str">
        <f>"PROFESSOR"</f>
        <v>PROFESSOR</v>
      </c>
      <c r="E1031" t="str">
        <f t="shared" si="92"/>
        <v>Efetivo-Inativo I- RJUSM</v>
      </c>
      <c r="F1031" t="str">
        <f>"R$ 3.825,11"</f>
        <v>R$ 3.825,11</v>
      </c>
      <c r="G1031" t="str">
        <f>"R$ 4.398,87"</f>
        <v>R$ 4.398,87</v>
      </c>
      <c r="H1031" t="str">
        <f t="shared" si="90"/>
        <v>R$ 0,00</v>
      </c>
      <c r="I1031" t="str">
        <f>"R$ 4.398,87"</f>
        <v>R$ 4.398,87</v>
      </c>
      <c r="J1031" t="str">
        <f>"R$ 1.545,78"</f>
        <v>R$ 1.545,78</v>
      </c>
      <c r="K1031" t="str">
        <f>"R$ 2.853,09"</f>
        <v>R$ 2.853,09</v>
      </c>
    </row>
    <row r="1032" spans="1:11" x14ac:dyDescent="0.25">
      <c r="A1032" t="str">
        <f>"00006645 / 2"</f>
        <v>00006645 / 2</v>
      </c>
      <c r="B1032" t="str">
        <f>"13° Salário Anual"</f>
        <v>13° Salário Anual</v>
      </c>
      <c r="C1032" t="str">
        <f>"Maria da Gloria Oliveira de Souza"</f>
        <v>Maria da Gloria Oliveira de Souza</v>
      </c>
      <c r="D1032" t="str">
        <f>"PROP IDADE"</f>
        <v>PROP IDADE</v>
      </c>
      <c r="E1032" t="str">
        <f t="shared" si="92"/>
        <v>Efetivo-Inativo I- RJUSM</v>
      </c>
      <c r="F1032" t="str">
        <f>"R$ 1.584,23"</f>
        <v>R$ 1.584,23</v>
      </c>
      <c r="G1032" t="str">
        <f>"R$ 1.584,23"</f>
        <v>R$ 1.584,23</v>
      </c>
      <c r="H1032" t="str">
        <f t="shared" si="90"/>
        <v>R$ 0,00</v>
      </c>
      <c r="I1032" t="str">
        <f>"R$ 1.584,23"</f>
        <v>R$ 1.584,23</v>
      </c>
      <c r="J1032" t="str">
        <f>"R$ 792,11"</f>
        <v>R$ 792,11</v>
      </c>
      <c r="K1032" t="str">
        <f>"R$ 792,12"</f>
        <v>R$ 792,12</v>
      </c>
    </row>
    <row r="1033" spans="1:11" x14ac:dyDescent="0.25">
      <c r="A1033" t="str">
        <f>"00006645 / 2"</f>
        <v>00006645 / 2</v>
      </c>
      <c r="B1033" t="str">
        <f>"Folha Mensal"</f>
        <v>Folha Mensal</v>
      </c>
      <c r="C1033" t="str">
        <f>"Maria da Gloria Oliveira de Souza"</f>
        <v>Maria da Gloria Oliveira de Souza</v>
      </c>
      <c r="D1033" t="str">
        <f>"PROP IDADE"</f>
        <v>PROP IDADE</v>
      </c>
      <c r="E1033" t="str">
        <f t="shared" si="92"/>
        <v>Efetivo-Inativo I- RJUSM</v>
      </c>
      <c r="F1033" t="str">
        <f>"R$ 1.584,23"</f>
        <v>R$ 1.584,23</v>
      </c>
      <c r="G1033" t="str">
        <f>"R$ 1.584,23"</f>
        <v>R$ 1.584,23</v>
      </c>
      <c r="H1033" t="str">
        <f t="shared" si="90"/>
        <v>R$ 0,00</v>
      </c>
      <c r="I1033" t="str">
        <f>"R$ 1.584,23"</f>
        <v>R$ 1.584,23</v>
      </c>
      <c r="J1033" t="str">
        <f>"R$ 321,11"</f>
        <v>R$ 321,11</v>
      </c>
      <c r="K1033" t="str">
        <f>"R$ 1.263,12"</f>
        <v>R$ 1.263,12</v>
      </c>
    </row>
    <row r="1034" spans="1:11" x14ac:dyDescent="0.25">
      <c r="A1034" t="str">
        <f>"00009261 / 1"</f>
        <v>00009261 / 1</v>
      </c>
      <c r="B1034" t="str">
        <f>"13° Salário Anual"</f>
        <v>13° Salário Anual</v>
      </c>
      <c r="C1034" t="str">
        <f>"Maria da Graca Navarro de Souza"</f>
        <v>Maria da Graca Navarro de Souza</v>
      </c>
      <c r="D1034" t="str">
        <f>"PROP IDADE"</f>
        <v>PROP IDADE</v>
      </c>
      <c r="E1034" t="str">
        <f t="shared" si="92"/>
        <v>Efetivo-Inativo I- RJUSM</v>
      </c>
      <c r="F1034" t="str">
        <f>"R$ 1.100,00"</f>
        <v>R$ 1.100,00</v>
      </c>
      <c r="G1034" t="str">
        <f>"R$ 1.100,00"</f>
        <v>R$ 1.100,00</v>
      </c>
      <c r="H1034" t="str">
        <f t="shared" si="90"/>
        <v>R$ 0,00</v>
      </c>
      <c r="I1034" t="str">
        <f>"R$ 1.100,00"</f>
        <v>R$ 1.100,00</v>
      </c>
      <c r="J1034" t="str">
        <f>"R$ 550,00"</f>
        <v>R$ 550,00</v>
      </c>
      <c r="K1034" t="str">
        <f>"R$ 550,00"</f>
        <v>R$ 550,00</v>
      </c>
    </row>
    <row r="1035" spans="1:11" x14ac:dyDescent="0.25">
      <c r="A1035" t="str">
        <f>"00009261 / 1"</f>
        <v>00009261 / 1</v>
      </c>
      <c r="B1035" t="str">
        <f>"Folha Mensal"</f>
        <v>Folha Mensal</v>
      </c>
      <c r="C1035" t="str">
        <f>"Maria da Graca Navarro de Souza"</f>
        <v>Maria da Graca Navarro de Souza</v>
      </c>
      <c r="D1035" t="str">
        <f>"PROP IDADE"</f>
        <v>PROP IDADE</v>
      </c>
      <c r="E1035" t="str">
        <f t="shared" si="92"/>
        <v>Efetivo-Inativo I- RJUSM</v>
      </c>
      <c r="F1035" t="str">
        <f>"R$ 1.100,00"</f>
        <v>R$ 1.100,00</v>
      </c>
      <c r="G1035" t="str">
        <f>"R$ 1.100,00"</f>
        <v>R$ 1.100,00</v>
      </c>
      <c r="H1035" t="str">
        <f t="shared" si="90"/>
        <v>R$ 0,00</v>
      </c>
      <c r="I1035" t="str">
        <f>"R$ 1.100,00"</f>
        <v>R$ 1.100,00</v>
      </c>
      <c r="J1035" t="str">
        <f>"R$ 0,00"</f>
        <v>R$ 0,00</v>
      </c>
      <c r="K1035" t="str">
        <f>"R$ 1.100,00"</f>
        <v>R$ 1.100,00</v>
      </c>
    </row>
    <row r="1036" spans="1:11" x14ac:dyDescent="0.25">
      <c r="A1036" t="str">
        <f>"00022772 / 1"</f>
        <v>00022772 / 1</v>
      </c>
      <c r="B1036" t="str">
        <f>"13° Salário Anual"</f>
        <v>13° Salário Anual</v>
      </c>
      <c r="C1036" t="str">
        <f>"Maria da Graca Santos Tavares"</f>
        <v>Maria da Graca Santos Tavares</v>
      </c>
      <c r="D1036" t="str">
        <f>"PROFESSOR"</f>
        <v>PROFESSOR</v>
      </c>
      <c r="E1036" t="str">
        <f t="shared" si="92"/>
        <v>Efetivo-Inativo I- RJUSM</v>
      </c>
      <c r="F1036" t="str">
        <f>"R$ 1.593,46"</f>
        <v>R$ 1.593,46</v>
      </c>
      <c r="G1036" t="str">
        <f>"R$ 1.991,82"</f>
        <v>R$ 1.991,82</v>
      </c>
      <c r="H1036" t="str">
        <f t="shared" si="90"/>
        <v>R$ 0,00</v>
      </c>
      <c r="I1036" t="str">
        <f>"R$ 1.991,82"</f>
        <v>R$ 1.991,82</v>
      </c>
      <c r="J1036" t="str">
        <f>"R$ 995,91"</f>
        <v>R$ 995,91</v>
      </c>
      <c r="K1036" t="str">
        <f>"R$ 995,91"</f>
        <v>R$ 995,91</v>
      </c>
    </row>
    <row r="1037" spans="1:11" x14ac:dyDescent="0.25">
      <c r="A1037" t="str">
        <f>"00022772 / 1"</f>
        <v>00022772 / 1</v>
      </c>
      <c r="B1037" t="str">
        <f>"Folha Mensal"</f>
        <v>Folha Mensal</v>
      </c>
      <c r="C1037" t="str">
        <f>"Maria da Graca Santos Tavares"</f>
        <v>Maria da Graca Santos Tavares</v>
      </c>
      <c r="D1037" t="str">
        <f>"PROFESSOR"</f>
        <v>PROFESSOR</v>
      </c>
      <c r="E1037" t="str">
        <f t="shared" si="92"/>
        <v>Efetivo-Inativo I- RJUSM</v>
      </c>
      <c r="F1037" t="str">
        <f>"R$ 1.593,46"</f>
        <v>R$ 1.593,46</v>
      </c>
      <c r="G1037" t="str">
        <f>"R$ 1.991,82"</f>
        <v>R$ 1.991,82</v>
      </c>
      <c r="H1037" t="str">
        <f t="shared" si="90"/>
        <v>R$ 0,00</v>
      </c>
      <c r="I1037" t="str">
        <f>"R$ 1.991,82"</f>
        <v>R$ 1.991,82</v>
      </c>
      <c r="J1037" t="str">
        <f>"R$ 0,00"</f>
        <v>R$ 0,00</v>
      </c>
      <c r="K1037" t="str">
        <f>"R$ 1.991,82"</f>
        <v>R$ 1.991,82</v>
      </c>
    </row>
    <row r="1038" spans="1:11" x14ac:dyDescent="0.25">
      <c r="A1038" t="str">
        <f>"00002763 / 1"</f>
        <v>00002763 / 1</v>
      </c>
      <c r="B1038" t="str">
        <f>"13° Salário Anual"</f>
        <v>13° Salário Anual</v>
      </c>
      <c r="C1038" t="str">
        <f>"Maria da Se Pinto dos Reis"</f>
        <v>Maria da Se Pinto dos Reis</v>
      </c>
      <c r="D1038" t="str">
        <f>"PROFESSOR"</f>
        <v>PROFESSOR</v>
      </c>
      <c r="E1038" t="str">
        <f t="shared" si="92"/>
        <v>Efetivo-Inativo I- RJUSM</v>
      </c>
      <c r="F1038" t="str">
        <f>"R$ 1.593,46"</f>
        <v>R$ 1.593,46</v>
      </c>
      <c r="G1038" t="str">
        <f>"R$ 1.832,47"</f>
        <v>R$ 1.832,47</v>
      </c>
      <c r="H1038" t="str">
        <f t="shared" si="90"/>
        <v>R$ 0,00</v>
      </c>
      <c r="I1038" t="str">
        <f>"R$ 1.832,47"</f>
        <v>R$ 1.832,47</v>
      </c>
      <c r="J1038" t="str">
        <f>"R$ 916,23"</f>
        <v>R$ 916,23</v>
      </c>
      <c r="K1038" t="str">
        <f>"R$ 916,24"</f>
        <v>R$ 916,24</v>
      </c>
    </row>
    <row r="1039" spans="1:11" x14ac:dyDescent="0.25">
      <c r="A1039" t="str">
        <f>"00002763 / 1"</f>
        <v>00002763 / 1</v>
      </c>
      <c r="B1039" t="str">
        <f>"Folha Mensal"</f>
        <v>Folha Mensal</v>
      </c>
      <c r="C1039" t="str">
        <f>"Maria da Se Pinto dos Reis"</f>
        <v>Maria da Se Pinto dos Reis</v>
      </c>
      <c r="D1039" t="str">
        <f>"PROFESSOR"</f>
        <v>PROFESSOR</v>
      </c>
      <c r="E1039" t="str">
        <f t="shared" si="92"/>
        <v>Efetivo-Inativo I- RJUSM</v>
      </c>
      <c r="F1039" t="str">
        <f>"R$ 1.593,46"</f>
        <v>R$ 1.593,46</v>
      </c>
      <c r="G1039" t="str">
        <f>"R$ 1.832,47"</f>
        <v>R$ 1.832,47</v>
      </c>
      <c r="H1039" t="str">
        <f t="shared" si="90"/>
        <v>R$ 0,00</v>
      </c>
      <c r="I1039" t="str">
        <f>"R$ 1.832,47"</f>
        <v>R$ 1.832,47</v>
      </c>
      <c r="J1039" t="str">
        <f>"R$ 0,00"</f>
        <v>R$ 0,00</v>
      </c>
      <c r="K1039" t="str">
        <f>"R$ 1.832,47"</f>
        <v>R$ 1.832,47</v>
      </c>
    </row>
    <row r="1040" spans="1:11" x14ac:dyDescent="0.25">
      <c r="A1040" t="str">
        <f>"00003786 / 1"</f>
        <v>00003786 / 1</v>
      </c>
      <c r="B1040" t="str">
        <f>"13° Salário Anual"</f>
        <v>13° Salário Anual</v>
      </c>
      <c r="C1040" t="str">
        <f>"Maria Dalva Nascimento Leal"</f>
        <v>Maria Dalva Nascimento Leal</v>
      </c>
      <c r="D1040" t="str">
        <f>"INT TEMP CONTRIBUICAO"</f>
        <v>INT TEMP CONTRIBUICAO</v>
      </c>
      <c r="E1040" t="str">
        <f t="shared" si="92"/>
        <v>Efetivo-Inativo I- RJUSM</v>
      </c>
      <c r="F1040" t="str">
        <f t="shared" ref="F1040:F1045" si="96">"R$ 1.100,00"</f>
        <v>R$ 1.100,00</v>
      </c>
      <c r="G1040" t="str">
        <f>"R$ 1.430,00"</f>
        <v>R$ 1.430,00</v>
      </c>
      <c r="H1040" t="str">
        <f t="shared" si="90"/>
        <v>R$ 0,00</v>
      </c>
      <c r="I1040" t="str">
        <f>"R$ 1.430,00"</f>
        <v>R$ 1.430,00</v>
      </c>
      <c r="J1040" t="str">
        <f>"R$ 715,00"</f>
        <v>R$ 715,00</v>
      </c>
      <c r="K1040" t="str">
        <f>"R$ 715,00"</f>
        <v>R$ 715,00</v>
      </c>
    </row>
    <row r="1041" spans="1:11" x14ac:dyDescent="0.25">
      <c r="A1041" t="str">
        <f>"00003786 / 1"</f>
        <v>00003786 / 1</v>
      </c>
      <c r="B1041" t="str">
        <f>"Folha Mensal"</f>
        <v>Folha Mensal</v>
      </c>
      <c r="C1041" t="str">
        <f>"Maria Dalva Nascimento Leal"</f>
        <v>Maria Dalva Nascimento Leal</v>
      </c>
      <c r="D1041" t="str">
        <f>"INT TEMP CONTRIBUICAO"</f>
        <v>INT TEMP CONTRIBUICAO</v>
      </c>
      <c r="E1041" t="str">
        <f t="shared" si="92"/>
        <v>Efetivo-Inativo I- RJUSM</v>
      </c>
      <c r="F1041" t="str">
        <f t="shared" si="96"/>
        <v>R$ 1.100,00</v>
      </c>
      <c r="G1041" t="str">
        <f>"R$ 1.430,00"</f>
        <v>R$ 1.430,00</v>
      </c>
      <c r="H1041" t="str">
        <f t="shared" si="90"/>
        <v>R$ 0,00</v>
      </c>
      <c r="I1041" t="str">
        <f>"R$ 1.430,00"</f>
        <v>R$ 1.430,00</v>
      </c>
      <c r="J1041" t="str">
        <f>"R$ 498,01"</f>
        <v>R$ 498,01</v>
      </c>
      <c r="K1041" t="str">
        <f>"R$ 931,99"</f>
        <v>R$ 931,99</v>
      </c>
    </row>
    <row r="1042" spans="1:11" x14ac:dyDescent="0.25">
      <c r="A1042" t="str">
        <f>"00006726 / 1"</f>
        <v>00006726 / 1</v>
      </c>
      <c r="B1042" t="str">
        <f>"13° Salário Anual"</f>
        <v>13° Salário Anual</v>
      </c>
      <c r="C1042" t="str">
        <f>"Maria das Dores da Silva Ramos"</f>
        <v>Maria das Dores da Silva Ramos</v>
      </c>
      <c r="D1042" t="str">
        <f>"PROP TEMP CONTRIBUICAO"</f>
        <v>PROP TEMP CONTRIBUICAO</v>
      </c>
      <c r="E1042" t="str">
        <f>"Efetivo-Inativos II-RJUSM"</f>
        <v>Efetivo-Inativos II-RJUSM</v>
      </c>
      <c r="F1042" t="str">
        <f t="shared" si="96"/>
        <v>R$ 1.100,00</v>
      </c>
      <c r="G1042" t="str">
        <f>"R$ 1.430,00"</f>
        <v>R$ 1.430,00</v>
      </c>
      <c r="H1042" t="str">
        <f t="shared" si="90"/>
        <v>R$ 0,00</v>
      </c>
      <c r="I1042" t="str">
        <f>"R$ 1.430,00"</f>
        <v>R$ 1.430,00</v>
      </c>
      <c r="J1042" t="str">
        <f>"R$ 715,00"</f>
        <v>R$ 715,00</v>
      </c>
      <c r="K1042" t="str">
        <f>"R$ 715,00"</f>
        <v>R$ 715,00</v>
      </c>
    </row>
    <row r="1043" spans="1:11" x14ac:dyDescent="0.25">
      <c r="A1043" t="str">
        <f>"00006726 / 1"</f>
        <v>00006726 / 1</v>
      </c>
      <c r="B1043" t="str">
        <f>"Folha Mensal"</f>
        <v>Folha Mensal</v>
      </c>
      <c r="C1043" t="str">
        <f>"Maria das Dores da Silva Ramos"</f>
        <v>Maria das Dores da Silva Ramos</v>
      </c>
      <c r="D1043" t="str">
        <f>"PROP TEMP CONTRIBUICAO"</f>
        <v>PROP TEMP CONTRIBUICAO</v>
      </c>
      <c r="E1043" t="str">
        <f>"Efetivo-Inativos II-RJUSM"</f>
        <v>Efetivo-Inativos II-RJUSM</v>
      </c>
      <c r="F1043" t="str">
        <f t="shared" si="96"/>
        <v>R$ 1.100,00</v>
      </c>
      <c r="G1043" t="str">
        <f>"R$ 1.430,00"</f>
        <v>R$ 1.430,00</v>
      </c>
      <c r="H1043" t="str">
        <f t="shared" si="90"/>
        <v>R$ 0,00</v>
      </c>
      <c r="I1043" t="str">
        <f>"R$ 1.430,00"</f>
        <v>R$ 1.430,00</v>
      </c>
      <c r="J1043" t="str">
        <f>"R$ 0,00"</f>
        <v>R$ 0,00</v>
      </c>
      <c r="K1043" t="str">
        <f>"R$ 1.430,00"</f>
        <v>R$ 1.430,00</v>
      </c>
    </row>
    <row r="1044" spans="1:11" x14ac:dyDescent="0.25">
      <c r="A1044" t="str">
        <f>"00023493 / 1"</f>
        <v>00023493 / 1</v>
      </c>
      <c r="B1044" t="str">
        <f>"13° Salário Anual"</f>
        <v>13° Salário Anual</v>
      </c>
      <c r="C1044" t="str">
        <f>"Maria das Gracas Alves de Souza"</f>
        <v>Maria das Gracas Alves de Souza</v>
      </c>
      <c r="D1044" t="str">
        <f>"PROP IDADE"</f>
        <v>PROP IDADE</v>
      </c>
      <c r="E1044" t="str">
        <f t="shared" ref="E1044:E1049" si="97">"Efetivo-Inativo I- RJUSM"</f>
        <v>Efetivo-Inativo I- RJUSM</v>
      </c>
      <c r="F1044" t="str">
        <f t="shared" si="96"/>
        <v>R$ 1.100,00</v>
      </c>
      <c r="G1044" t="str">
        <f>"R$ 1.100,00"</f>
        <v>R$ 1.100,00</v>
      </c>
      <c r="H1044" t="str">
        <f t="shared" si="90"/>
        <v>R$ 0,00</v>
      </c>
      <c r="I1044" t="str">
        <f>"R$ 1.100,00"</f>
        <v>R$ 1.100,00</v>
      </c>
      <c r="J1044" t="str">
        <f>"R$ 550,00"</f>
        <v>R$ 550,00</v>
      </c>
      <c r="K1044" t="str">
        <f>"R$ 550,00"</f>
        <v>R$ 550,00</v>
      </c>
    </row>
    <row r="1045" spans="1:11" x14ac:dyDescent="0.25">
      <c r="A1045" t="str">
        <f>"00023493 / 1"</f>
        <v>00023493 / 1</v>
      </c>
      <c r="B1045" t="str">
        <f>"Folha Mensal"</f>
        <v>Folha Mensal</v>
      </c>
      <c r="C1045" t="str">
        <f>"Maria das Gracas Alves de Souza"</f>
        <v>Maria das Gracas Alves de Souza</v>
      </c>
      <c r="D1045" t="str">
        <f>"PROP IDADE"</f>
        <v>PROP IDADE</v>
      </c>
      <c r="E1045" t="str">
        <f t="shared" si="97"/>
        <v>Efetivo-Inativo I- RJUSM</v>
      </c>
      <c r="F1045" t="str">
        <f t="shared" si="96"/>
        <v>R$ 1.100,00</v>
      </c>
      <c r="G1045" t="str">
        <f>"R$ 1.100,00"</f>
        <v>R$ 1.100,00</v>
      </c>
      <c r="H1045" t="str">
        <f t="shared" si="90"/>
        <v>R$ 0,00</v>
      </c>
      <c r="I1045" t="str">
        <f>"R$ 1.100,00"</f>
        <v>R$ 1.100,00</v>
      </c>
      <c r="J1045" t="str">
        <f>"R$ 0,00"</f>
        <v>R$ 0,00</v>
      </c>
      <c r="K1045" t="str">
        <f>"R$ 1.100,00"</f>
        <v>R$ 1.100,00</v>
      </c>
    </row>
    <row r="1046" spans="1:11" x14ac:dyDescent="0.25">
      <c r="A1046" t="str">
        <f>"00011517 / 1"</f>
        <v>00011517 / 1</v>
      </c>
      <c r="B1046" t="str">
        <f>"13° Salário Anual"</f>
        <v>13° Salário Anual</v>
      </c>
      <c r="C1046" t="str">
        <f>"Maria das Gracas Barroso da Silva"</f>
        <v>Maria das Gracas Barroso da Silva</v>
      </c>
      <c r="D1046" t="str">
        <f>"PROFESSOR"</f>
        <v>PROFESSOR</v>
      </c>
      <c r="E1046" t="str">
        <f t="shared" si="97"/>
        <v>Efetivo-Inativo I- RJUSM</v>
      </c>
      <c r="F1046" t="str">
        <f>"R$ 1.673,12"</f>
        <v>R$ 1.673,12</v>
      </c>
      <c r="G1046" t="str">
        <f>"R$ 2.091,40"</f>
        <v>R$ 2.091,40</v>
      </c>
      <c r="H1046" t="str">
        <f t="shared" si="90"/>
        <v>R$ 0,00</v>
      </c>
      <c r="I1046" t="str">
        <f>"R$ 2.091,40"</f>
        <v>R$ 2.091,40</v>
      </c>
      <c r="J1046" t="str">
        <f>"R$ 1.059,75"</f>
        <v>R$ 1.059,75</v>
      </c>
      <c r="K1046" t="str">
        <f>"R$ 1.031,65"</f>
        <v>R$ 1.031,65</v>
      </c>
    </row>
    <row r="1047" spans="1:11" x14ac:dyDescent="0.25">
      <c r="A1047" t="str">
        <f>"00011517 / 1"</f>
        <v>00011517 / 1</v>
      </c>
      <c r="B1047" t="str">
        <f>"Folha Mensal"</f>
        <v>Folha Mensal</v>
      </c>
      <c r="C1047" t="str">
        <f>"Maria das Gracas Barroso da Silva"</f>
        <v>Maria das Gracas Barroso da Silva</v>
      </c>
      <c r="D1047" t="str">
        <f>"PROFESSOR"</f>
        <v>PROFESSOR</v>
      </c>
      <c r="E1047" t="str">
        <f t="shared" si="97"/>
        <v>Efetivo-Inativo I- RJUSM</v>
      </c>
      <c r="F1047" t="str">
        <f>"R$ 1.673,12"</f>
        <v>R$ 1.673,12</v>
      </c>
      <c r="G1047" t="str">
        <f>"R$ 2.091,40"</f>
        <v>R$ 2.091,40</v>
      </c>
      <c r="H1047" t="str">
        <f t="shared" si="90"/>
        <v>R$ 0,00</v>
      </c>
      <c r="I1047" t="str">
        <f>"R$ 2.091,40"</f>
        <v>R$ 2.091,40</v>
      </c>
      <c r="J1047" t="str">
        <f>"R$ 14,05"</f>
        <v>R$ 14,05</v>
      </c>
      <c r="K1047" t="str">
        <f>"R$ 2.077,35"</f>
        <v>R$ 2.077,35</v>
      </c>
    </row>
    <row r="1048" spans="1:11" x14ac:dyDescent="0.25">
      <c r="A1048" t="str">
        <f>"00052485 / 2"</f>
        <v>00052485 / 2</v>
      </c>
      <c r="B1048" t="str">
        <f>"13° Salário Anual"</f>
        <v>13° Salário Anual</v>
      </c>
      <c r="C1048" t="str">
        <f>"Maria das Gracas Carneiro Pereira"</f>
        <v>Maria das Gracas Carneiro Pereira</v>
      </c>
      <c r="D1048" t="str">
        <f>"PROP IDADE"</f>
        <v>PROP IDADE</v>
      </c>
      <c r="E1048" t="str">
        <f t="shared" si="97"/>
        <v>Efetivo-Inativo I- RJUSM</v>
      </c>
      <c r="F1048" t="str">
        <f>"R$ 1.102,35"</f>
        <v>R$ 1.102,35</v>
      </c>
      <c r="G1048" t="str">
        <f>"R$ 1.102,35"</f>
        <v>R$ 1.102,35</v>
      </c>
      <c r="H1048" t="str">
        <f t="shared" si="90"/>
        <v>R$ 0,00</v>
      </c>
      <c r="I1048" t="str">
        <f>"R$ 1.102,35"</f>
        <v>R$ 1.102,35</v>
      </c>
      <c r="J1048" t="str">
        <f>"R$ 551,17"</f>
        <v>R$ 551,17</v>
      </c>
      <c r="K1048" t="str">
        <f>"R$ 551,18"</f>
        <v>R$ 551,18</v>
      </c>
    </row>
    <row r="1049" spans="1:11" x14ac:dyDescent="0.25">
      <c r="A1049" t="str">
        <f>"00052485 / 2"</f>
        <v>00052485 / 2</v>
      </c>
      <c r="B1049" t="str">
        <f>"Folha Mensal"</f>
        <v>Folha Mensal</v>
      </c>
      <c r="C1049" t="str">
        <f>"Maria das Gracas Carneiro Pereira"</f>
        <v>Maria das Gracas Carneiro Pereira</v>
      </c>
      <c r="D1049" t="str">
        <f>"PROP IDADE"</f>
        <v>PROP IDADE</v>
      </c>
      <c r="E1049" t="str">
        <f t="shared" si="97"/>
        <v>Efetivo-Inativo I- RJUSM</v>
      </c>
      <c r="F1049" t="str">
        <f>"R$ 1.102,35"</f>
        <v>R$ 1.102,35</v>
      </c>
      <c r="G1049" t="str">
        <f>"R$ 1.102,35"</f>
        <v>R$ 1.102,35</v>
      </c>
      <c r="H1049" t="str">
        <f t="shared" si="90"/>
        <v>R$ 0,00</v>
      </c>
      <c r="I1049" t="str">
        <f>"R$ 1.102,35"</f>
        <v>R$ 1.102,35</v>
      </c>
      <c r="J1049" t="str">
        <f>"R$ 323,89"</f>
        <v>R$ 323,89</v>
      </c>
      <c r="K1049" t="str">
        <f>"R$ 778,46"</f>
        <v>R$ 778,46</v>
      </c>
    </row>
    <row r="1050" spans="1:11" x14ac:dyDescent="0.25">
      <c r="A1050" t="str">
        <f>"00015180 / 1"</f>
        <v>00015180 / 1</v>
      </c>
      <c r="B1050" t="str">
        <f>"13° Salário Anual"</f>
        <v>13° Salário Anual</v>
      </c>
      <c r="C1050" t="str">
        <f>"Maria das Gracas Correa de Araujo"</f>
        <v>Maria das Gracas Correa de Araujo</v>
      </c>
      <c r="D1050" t="str">
        <f>"PROFESSOR NIVEL III"</f>
        <v>PROFESSOR NIVEL III</v>
      </c>
      <c r="E1050" t="str">
        <f>"Efetivo-Inativos II-RJUSM"</f>
        <v>Efetivo-Inativos II-RJUSM</v>
      </c>
      <c r="F1050" t="str">
        <f>"R$ 5.895,85"</f>
        <v>R$ 5.895,85</v>
      </c>
      <c r="G1050" t="str">
        <f>"R$ 7.369,81"</f>
        <v>R$ 7.369,81</v>
      </c>
      <c r="H1050" t="str">
        <f t="shared" si="90"/>
        <v>R$ 0,00</v>
      </c>
      <c r="I1050" t="str">
        <f>"R$ 7.369,81"</f>
        <v>R$ 7.369,81</v>
      </c>
      <c r="J1050" t="str">
        <f>"R$ 3.862,52"</f>
        <v>R$ 3.862,52</v>
      </c>
      <c r="K1050" t="str">
        <f>"R$ 3.507,29"</f>
        <v>R$ 3.507,29</v>
      </c>
    </row>
    <row r="1051" spans="1:11" x14ac:dyDescent="0.25">
      <c r="A1051" t="str">
        <f>"00015180 / 1"</f>
        <v>00015180 / 1</v>
      </c>
      <c r="B1051" t="str">
        <f>"Folha Mensal"</f>
        <v>Folha Mensal</v>
      </c>
      <c r="C1051" t="str">
        <f>"Maria das Gracas Correa de Araujo"</f>
        <v>Maria das Gracas Correa de Araujo</v>
      </c>
      <c r="D1051" t="str">
        <f>"PROFESSOR NIVEL III"</f>
        <v>PROFESSOR NIVEL III</v>
      </c>
      <c r="E1051" t="str">
        <f>"Efetivo-Inativos II-RJUSM"</f>
        <v>Efetivo-Inativos II-RJUSM</v>
      </c>
      <c r="F1051" t="str">
        <f>"R$ 5.895,85"</f>
        <v>R$ 5.895,85</v>
      </c>
      <c r="G1051" t="str">
        <f>"R$ 7.369,81"</f>
        <v>R$ 7.369,81</v>
      </c>
      <c r="H1051" t="str">
        <f t="shared" si="90"/>
        <v>R$ 0,00</v>
      </c>
      <c r="I1051" t="str">
        <f>"R$ 7.369,81"</f>
        <v>R$ 7.369,81</v>
      </c>
      <c r="J1051" t="str">
        <f>"R$ 2.679,06"</f>
        <v>R$ 2.679,06</v>
      </c>
      <c r="K1051" t="str">
        <f>"R$ 4.690,75"</f>
        <v>R$ 4.690,75</v>
      </c>
    </row>
    <row r="1052" spans="1:11" x14ac:dyDescent="0.25">
      <c r="A1052" t="str">
        <f>"00026778 / 2"</f>
        <v>00026778 / 2</v>
      </c>
      <c r="B1052" t="str">
        <f>"13° Salário Anual"</f>
        <v>13° Salário Anual</v>
      </c>
      <c r="C1052" t="str">
        <f>"Maria das Gracas da Luz Damasceno"</f>
        <v>Maria das Gracas da Luz Damasceno</v>
      </c>
      <c r="D1052" t="str">
        <f>"PROFESSOR NIVEL II"</f>
        <v>PROFESSOR NIVEL II</v>
      </c>
      <c r="E1052" t="str">
        <f>"Efetivo-Inativos II-RJUSM"</f>
        <v>Efetivo-Inativos II-RJUSM</v>
      </c>
      <c r="F1052" t="str">
        <f>"R$ 2.788,56"</f>
        <v>R$ 2.788,56</v>
      </c>
      <c r="G1052" t="str">
        <f>"R$ 3.485,70"</f>
        <v>R$ 3.485,70</v>
      </c>
      <c r="H1052" t="str">
        <f t="shared" si="90"/>
        <v>R$ 0,00</v>
      </c>
      <c r="I1052" t="str">
        <f>"R$ 3.485,70"</f>
        <v>R$ 3.485,70</v>
      </c>
      <c r="J1052" t="str">
        <f>"R$ 1.742,85"</f>
        <v>R$ 1.742,85</v>
      </c>
      <c r="K1052" t="str">
        <f>"R$ 1.742,85"</f>
        <v>R$ 1.742,85</v>
      </c>
    </row>
    <row r="1053" spans="1:11" x14ac:dyDescent="0.25">
      <c r="A1053" t="str">
        <f>"00026778 / 2"</f>
        <v>00026778 / 2</v>
      </c>
      <c r="B1053" t="str">
        <f>"Folha Mensal"</f>
        <v>Folha Mensal</v>
      </c>
      <c r="C1053" t="str">
        <f>"Maria das Gracas da Luz Damasceno"</f>
        <v>Maria das Gracas da Luz Damasceno</v>
      </c>
      <c r="D1053" t="str">
        <f>"PROFESSOR NIVEL II"</f>
        <v>PROFESSOR NIVEL II</v>
      </c>
      <c r="E1053" t="str">
        <f>"Efetivo-Inativos II-RJUSM"</f>
        <v>Efetivo-Inativos II-RJUSM</v>
      </c>
      <c r="F1053" t="str">
        <f>"R$ 2.788,56"</f>
        <v>R$ 2.788,56</v>
      </c>
      <c r="G1053" t="str">
        <f>"R$ 3.485,70"</f>
        <v>R$ 3.485,70</v>
      </c>
      <c r="H1053" t="str">
        <f t="shared" si="90"/>
        <v>R$ 0,00</v>
      </c>
      <c r="I1053" t="str">
        <f>"R$ 3.485,70"</f>
        <v>R$ 3.485,70</v>
      </c>
      <c r="J1053" t="str">
        <f>"R$ 0,00"</f>
        <v>R$ 0,00</v>
      </c>
      <c r="K1053" t="str">
        <f>"R$ 3.485,70"</f>
        <v>R$ 3.485,70</v>
      </c>
    </row>
    <row r="1054" spans="1:11" x14ac:dyDescent="0.25">
      <c r="A1054" t="str">
        <f>"00024538 / 2"</f>
        <v>00024538 / 2</v>
      </c>
      <c r="B1054" t="str">
        <f>"13° Salário Anual"</f>
        <v>13° Salário Anual</v>
      </c>
      <c r="C1054" t="str">
        <f>"Maria das Gracas da Silva Monte"</f>
        <v>Maria das Gracas da Silva Monte</v>
      </c>
      <c r="D1054" t="str">
        <f>"PROFESSOR NIVEL I"</f>
        <v>PROFESSOR NIVEL I</v>
      </c>
      <c r="E1054" t="str">
        <f t="shared" ref="E1054:E1071" si="98">"Efetivo-Inativo I- RJUSM"</f>
        <v>Efetivo-Inativo I- RJUSM</v>
      </c>
      <c r="F1054" t="str">
        <f>"R$ 1.593,46"</f>
        <v>R$ 1.593,46</v>
      </c>
      <c r="G1054" t="str">
        <f>"R$ 1.991,82"</f>
        <v>R$ 1.991,82</v>
      </c>
      <c r="H1054" t="str">
        <f t="shared" si="90"/>
        <v>R$ 0,00</v>
      </c>
      <c r="I1054" t="str">
        <f>"R$ 1.991,82"</f>
        <v>R$ 1.991,82</v>
      </c>
      <c r="J1054" t="str">
        <f>"R$ 995,91"</f>
        <v>R$ 995,91</v>
      </c>
      <c r="K1054" t="str">
        <f>"R$ 995,91"</f>
        <v>R$ 995,91</v>
      </c>
    </row>
    <row r="1055" spans="1:11" x14ac:dyDescent="0.25">
      <c r="A1055" t="str">
        <f>"00024538 / 2"</f>
        <v>00024538 / 2</v>
      </c>
      <c r="B1055" t="str">
        <f>"Folha Mensal"</f>
        <v>Folha Mensal</v>
      </c>
      <c r="C1055" t="str">
        <f>"Maria das Gracas da Silva Monte"</f>
        <v>Maria das Gracas da Silva Monte</v>
      </c>
      <c r="D1055" t="str">
        <f>"PROFESSOR NIVEL I"</f>
        <v>PROFESSOR NIVEL I</v>
      </c>
      <c r="E1055" t="str">
        <f t="shared" si="98"/>
        <v>Efetivo-Inativo I- RJUSM</v>
      </c>
      <c r="F1055" t="str">
        <f>"R$ 1.593,46"</f>
        <v>R$ 1.593,46</v>
      </c>
      <c r="G1055" t="str">
        <f>"R$ 1.991,82"</f>
        <v>R$ 1.991,82</v>
      </c>
      <c r="H1055" t="str">
        <f t="shared" si="90"/>
        <v>R$ 0,00</v>
      </c>
      <c r="I1055" t="str">
        <f>"R$ 1.991,82"</f>
        <v>R$ 1.991,82</v>
      </c>
      <c r="J1055" t="str">
        <f>"R$ 544,42"</f>
        <v>R$ 544,42</v>
      </c>
      <c r="K1055" t="str">
        <f>"R$ 1.447,40"</f>
        <v>R$ 1.447,40</v>
      </c>
    </row>
    <row r="1056" spans="1:11" x14ac:dyDescent="0.25">
      <c r="A1056" t="str">
        <f>"00011924 / 1"</f>
        <v>00011924 / 1</v>
      </c>
      <c r="B1056" t="str">
        <f>"13° Salário Anual"</f>
        <v>13° Salário Anual</v>
      </c>
      <c r="C1056" t="str">
        <f>"Maria das Gracas da Silva Santos"</f>
        <v>Maria das Gracas da Silva Santos</v>
      </c>
      <c r="D1056" t="str">
        <f>"PROFESSOR"</f>
        <v>PROFESSOR</v>
      </c>
      <c r="E1056" t="str">
        <f t="shared" si="98"/>
        <v>Efetivo-Inativo I- RJUSM</v>
      </c>
      <c r="F1056" t="str">
        <f>"R$ 1.593,46"</f>
        <v>R$ 1.593,46</v>
      </c>
      <c r="G1056" t="str">
        <f>"R$ 2.071,49"</f>
        <v>R$ 2.071,49</v>
      </c>
      <c r="H1056" t="str">
        <f t="shared" si="90"/>
        <v>R$ 0,00</v>
      </c>
      <c r="I1056" t="str">
        <f>"R$ 2.071,49"</f>
        <v>R$ 2.071,49</v>
      </c>
      <c r="J1056" t="str">
        <f>"R$ 1.035,74"</f>
        <v>R$ 1.035,74</v>
      </c>
      <c r="K1056" t="str">
        <f>"R$ 1.035,75"</f>
        <v>R$ 1.035,75</v>
      </c>
    </row>
    <row r="1057" spans="1:11" x14ac:dyDescent="0.25">
      <c r="A1057" t="str">
        <f>"00011924 / 1"</f>
        <v>00011924 / 1</v>
      </c>
      <c r="B1057" t="str">
        <f>"Folha Mensal"</f>
        <v>Folha Mensal</v>
      </c>
      <c r="C1057" t="str">
        <f>"Maria das Gracas da Silva Santos"</f>
        <v>Maria das Gracas da Silva Santos</v>
      </c>
      <c r="D1057" t="str">
        <f>"PROFESSOR"</f>
        <v>PROFESSOR</v>
      </c>
      <c r="E1057" t="str">
        <f t="shared" si="98"/>
        <v>Efetivo-Inativo I- RJUSM</v>
      </c>
      <c r="F1057" t="str">
        <f>"R$ 1.593,46"</f>
        <v>R$ 1.593,46</v>
      </c>
      <c r="G1057" t="str">
        <f>"R$ 2.071,49"</f>
        <v>R$ 2.071,49</v>
      </c>
      <c r="H1057" t="str">
        <f t="shared" si="90"/>
        <v>R$ 0,00</v>
      </c>
      <c r="I1057" t="str">
        <f>"R$ 2.071,49"</f>
        <v>R$ 2.071,49</v>
      </c>
      <c r="J1057" t="str">
        <f>"R$ 0,00"</f>
        <v>R$ 0,00</v>
      </c>
      <c r="K1057" t="str">
        <f>"R$ 2.071,49"</f>
        <v>R$ 2.071,49</v>
      </c>
    </row>
    <row r="1058" spans="1:11" x14ac:dyDescent="0.25">
      <c r="A1058" t="str">
        <f>"00010804 / 1"</f>
        <v>00010804 / 1</v>
      </c>
      <c r="B1058" t="str">
        <f>"13° Salário Anual"</f>
        <v>13° Salário Anual</v>
      </c>
      <c r="C1058" t="str">
        <f>"Maria das Gracas de Freitas Ramos"</f>
        <v>Maria das Gracas de Freitas Ramos</v>
      </c>
      <c r="D1058" t="str">
        <f>"INT TEMP SERVICO"</f>
        <v>INT TEMP SERVICO</v>
      </c>
      <c r="E1058" t="str">
        <f t="shared" si="98"/>
        <v>Efetivo-Inativo I- RJUSM</v>
      </c>
      <c r="F1058" t="str">
        <f>"R$ 1.100,00"</f>
        <v>R$ 1.100,00</v>
      </c>
      <c r="G1058" t="str">
        <f>"R$ 1.430,00"</f>
        <v>R$ 1.430,00</v>
      </c>
      <c r="H1058" t="str">
        <f t="shared" si="90"/>
        <v>R$ 0,00</v>
      </c>
      <c r="I1058" t="str">
        <f>"R$ 1.430,00"</f>
        <v>R$ 1.430,00</v>
      </c>
      <c r="J1058" t="str">
        <f>"R$ 715,00"</f>
        <v>R$ 715,00</v>
      </c>
      <c r="K1058" t="str">
        <f>"R$ 715,00"</f>
        <v>R$ 715,00</v>
      </c>
    </row>
    <row r="1059" spans="1:11" x14ac:dyDescent="0.25">
      <c r="A1059" t="str">
        <f>"00010804 / 1"</f>
        <v>00010804 / 1</v>
      </c>
      <c r="B1059" t="str">
        <f>"Folha Mensal"</f>
        <v>Folha Mensal</v>
      </c>
      <c r="C1059" t="str">
        <f>"Maria das Gracas de Freitas Ramos"</f>
        <v>Maria das Gracas de Freitas Ramos</v>
      </c>
      <c r="D1059" t="str">
        <f>"INT TEMP SERVICO"</f>
        <v>INT TEMP SERVICO</v>
      </c>
      <c r="E1059" t="str">
        <f t="shared" si="98"/>
        <v>Efetivo-Inativo I- RJUSM</v>
      </c>
      <c r="F1059" t="str">
        <f>"R$ 1.100,00"</f>
        <v>R$ 1.100,00</v>
      </c>
      <c r="G1059" t="str">
        <f>"R$ 1.430,00"</f>
        <v>R$ 1.430,00</v>
      </c>
      <c r="H1059" t="str">
        <f t="shared" si="90"/>
        <v>R$ 0,00</v>
      </c>
      <c r="I1059" t="str">
        <f>"R$ 1.430,00"</f>
        <v>R$ 1.430,00</v>
      </c>
      <c r="J1059" t="str">
        <f>"R$ 0,00"</f>
        <v>R$ 0,00</v>
      </c>
      <c r="K1059" t="str">
        <f>"R$ 1.430,00"</f>
        <v>R$ 1.430,00</v>
      </c>
    </row>
    <row r="1060" spans="1:11" x14ac:dyDescent="0.25">
      <c r="A1060" t="str">
        <f>"00000981 / 1"</f>
        <v>00000981 / 1</v>
      </c>
      <c r="B1060" t="str">
        <f>"13° Salário Anual"</f>
        <v>13° Salário Anual</v>
      </c>
      <c r="C1060" t="str">
        <f>"Maria das Gracas Delgado"</f>
        <v>Maria das Gracas Delgado</v>
      </c>
      <c r="D1060" t="str">
        <f>"PROFESSOR"</f>
        <v>PROFESSOR</v>
      </c>
      <c r="E1060" t="str">
        <f t="shared" si="98"/>
        <v>Efetivo-Inativo I- RJUSM</v>
      </c>
      <c r="F1060" t="str">
        <f>"R$ 1.593,46"</f>
        <v>R$ 1.593,46</v>
      </c>
      <c r="G1060" t="str">
        <f>"R$ 1.991,82"</f>
        <v>R$ 1.991,82</v>
      </c>
      <c r="H1060" t="str">
        <f t="shared" si="90"/>
        <v>R$ 0,00</v>
      </c>
      <c r="I1060" t="str">
        <f>"R$ 1.991,82"</f>
        <v>R$ 1.991,82</v>
      </c>
      <c r="J1060" t="str">
        <f>"R$ 995,91"</f>
        <v>R$ 995,91</v>
      </c>
      <c r="K1060" t="str">
        <f>"R$ 995,91"</f>
        <v>R$ 995,91</v>
      </c>
    </row>
    <row r="1061" spans="1:11" x14ac:dyDescent="0.25">
      <c r="A1061" t="str">
        <f>"00000981 / 1"</f>
        <v>00000981 / 1</v>
      </c>
      <c r="B1061" t="str">
        <f>"Folha Mensal"</f>
        <v>Folha Mensal</v>
      </c>
      <c r="C1061" t="str">
        <f>"Maria das Gracas Delgado"</f>
        <v>Maria das Gracas Delgado</v>
      </c>
      <c r="D1061" t="str">
        <f>"PROFESSOR"</f>
        <v>PROFESSOR</v>
      </c>
      <c r="E1061" t="str">
        <f t="shared" si="98"/>
        <v>Efetivo-Inativo I- RJUSM</v>
      </c>
      <c r="F1061" t="str">
        <f>"R$ 1.593,46"</f>
        <v>R$ 1.593,46</v>
      </c>
      <c r="G1061" t="str">
        <f>"R$ 1.991,82"</f>
        <v>R$ 1.991,82</v>
      </c>
      <c r="H1061" t="str">
        <f t="shared" si="90"/>
        <v>R$ 0,00</v>
      </c>
      <c r="I1061" t="str">
        <f>"R$ 1.991,82"</f>
        <v>R$ 1.991,82</v>
      </c>
      <c r="J1061" t="str">
        <f>"R$ 561,68"</f>
        <v>R$ 561,68</v>
      </c>
      <c r="K1061" t="str">
        <f>"R$ 1.430,14"</f>
        <v>R$ 1.430,14</v>
      </c>
    </row>
    <row r="1062" spans="1:11" x14ac:dyDescent="0.25">
      <c r="A1062" t="str">
        <f>"00009202 / 2"</f>
        <v>00009202 / 2</v>
      </c>
      <c r="B1062" t="str">
        <f>"13° Salário Anual"</f>
        <v>13° Salário Anual</v>
      </c>
      <c r="C1062" t="str">
        <f>"Maria das Graças do Espirito Santos Bastos"</f>
        <v>Maria das Graças do Espirito Santos Bastos</v>
      </c>
      <c r="D1062" t="str">
        <f>"PROP IDADE"</f>
        <v>PROP IDADE</v>
      </c>
      <c r="E1062" t="str">
        <f t="shared" si="98"/>
        <v>Efetivo-Inativo I- RJUSM</v>
      </c>
      <c r="F1062" t="str">
        <f>"R$ 1.100,00"</f>
        <v>R$ 1.100,00</v>
      </c>
      <c r="G1062" t="str">
        <f>"R$ 1.100,00"</f>
        <v>R$ 1.100,00</v>
      </c>
      <c r="H1062" t="str">
        <f t="shared" si="90"/>
        <v>R$ 0,00</v>
      </c>
      <c r="I1062" t="str">
        <f>"R$ 1.100,00"</f>
        <v>R$ 1.100,00</v>
      </c>
      <c r="J1062" t="str">
        <f>"R$ 550,00"</f>
        <v>R$ 550,00</v>
      </c>
      <c r="K1062" t="str">
        <f>"R$ 550,00"</f>
        <v>R$ 550,00</v>
      </c>
    </row>
    <row r="1063" spans="1:11" x14ac:dyDescent="0.25">
      <c r="A1063" t="str">
        <f>"00009202 / 2"</f>
        <v>00009202 / 2</v>
      </c>
      <c r="B1063" t="str">
        <f>"Folha Mensal"</f>
        <v>Folha Mensal</v>
      </c>
      <c r="C1063" t="str">
        <f>"Maria das Graças do Espirito Santos Bastos"</f>
        <v>Maria das Graças do Espirito Santos Bastos</v>
      </c>
      <c r="D1063" t="str">
        <f>"PROP IDADE"</f>
        <v>PROP IDADE</v>
      </c>
      <c r="E1063" t="str">
        <f t="shared" si="98"/>
        <v>Efetivo-Inativo I- RJUSM</v>
      </c>
      <c r="F1063" t="str">
        <f>"R$ 1.100,00"</f>
        <v>R$ 1.100,00</v>
      </c>
      <c r="G1063" t="str">
        <f>"R$ 1.100,00"</f>
        <v>R$ 1.100,00</v>
      </c>
      <c r="H1063" t="str">
        <f t="shared" si="90"/>
        <v>R$ 0,00</v>
      </c>
      <c r="I1063" t="str">
        <f>"R$ 1.100,00"</f>
        <v>R$ 1.100,00</v>
      </c>
      <c r="J1063" t="str">
        <f>"R$ 296,87"</f>
        <v>R$ 296,87</v>
      </c>
      <c r="K1063" t="str">
        <f>"R$ 803,13"</f>
        <v>R$ 803,13</v>
      </c>
    </row>
    <row r="1064" spans="1:11" x14ac:dyDescent="0.25">
      <c r="A1064" t="str">
        <f>"00000086 / 1"</f>
        <v>00000086 / 1</v>
      </c>
      <c r="B1064" t="str">
        <f>"13° Salário Anual"</f>
        <v>13° Salário Anual</v>
      </c>
      <c r="C1064" t="str">
        <f>"Maria das Gracas dos Santos Freitas"</f>
        <v>Maria das Gracas dos Santos Freitas</v>
      </c>
      <c r="D1064" t="str">
        <f>"INT TEMP SERVICO"</f>
        <v>INT TEMP SERVICO</v>
      </c>
      <c r="E1064" t="str">
        <f t="shared" si="98"/>
        <v>Efetivo-Inativo I- RJUSM</v>
      </c>
      <c r="F1064" t="str">
        <f>"R$ 2.586,63"</f>
        <v>R$ 2.586,63</v>
      </c>
      <c r="G1064" t="str">
        <f>"R$ 2.586,63"</f>
        <v>R$ 2.586,63</v>
      </c>
      <c r="H1064" t="str">
        <f t="shared" si="90"/>
        <v>R$ 0,00</v>
      </c>
      <c r="I1064" t="str">
        <f>"R$ 2.586,63"</f>
        <v>R$ 2.586,63</v>
      </c>
      <c r="J1064" t="str">
        <f>"R$ 1.293,31"</f>
        <v>R$ 1.293,31</v>
      </c>
      <c r="K1064" t="str">
        <f>"R$ 1.293,32"</f>
        <v>R$ 1.293,32</v>
      </c>
    </row>
    <row r="1065" spans="1:11" x14ac:dyDescent="0.25">
      <c r="A1065" t="str">
        <f>"00000086 / 1"</f>
        <v>00000086 / 1</v>
      </c>
      <c r="B1065" t="str">
        <f>"Folha Mensal"</f>
        <v>Folha Mensal</v>
      </c>
      <c r="C1065" t="str">
        <f>"Maria das Gracas dos Santos Freitas"</f>
        <v>Maria das Gracas dos Santos Freitas</v>
      </c>
      <c r="D1065" t="str">
        <f>"INT TEMP SERVICO"</f>
        <v>INT TEMP SERVICO</v>
      </c>
      <c r="E1065" t="str">
        <f t="shared" si="98"/>
        <v>Efetivo-Inativo I- RJUSM</v>
      </c>
      <c r="F1065" t="str">
        <f>"R$ 2.586,63"</f>
        <v>R$ 2.586,63</v>
      </c>
      <c r="G1065" t="str">
        <f>"R$ 2.586,63"</f>
        <v>R$ 2.586,63</v>
      </c>
      <c r="H1065" t="str">
        <f t="shared" si="90"/>
        <v>R$ 0,00</v>
      </c>
      <c r="I1065" t="str">
        <f>"R$ 2.586,63"</f>
        <v>R$ 2.586,63</v>
      </c>
      <c r="J1065" t="str">
        <f>"R$ 0,00"</f>
        <v>R$ 0,00</v>
      </c>
      <c r="K1065" t="str">
        <f>"R$ 2.586,63"</f>
        <v>R$ 2.586,63</v>
      </c>
    </row>
    <row r="1066" spans="1:11" x14ac:dyDescent="0.25">
      <c r="A1066" t="str">
        <f>"00006572 / 1"</f>
        <v>00006572 / 1</v>
      </c>
      <c r="B1066" t="str">
        <f>"13° Salário Anual"</f>
        <v>13° Salário Anual</v>
      </c>
      <c r="C1066" t="str">
        <f>"Maria das Gracas Gama Pereira"</f>
        <v>Maria das Gracas Gama Pereira</v>
      </c>
      <c r="D1066" t="str">
        <f t="shared" ref="D1066:D1071" si="99">"PROFESSOR"</f>
        <v>PROFESSOR</v>
      </c>
      <c r="E1066" t="str">
        <f t="shared" si="98"/>
        <v>Efetivo-Inativo I- RJUSM</v>
      </c>
      <c r="F1066" t="str">
        <f>"R$ 1.593,46"</f>
        <v>R$ 1.593,46</v>
      </c>
      <c r="G1066" t="str">
        <f>"R$ 1.991,82"</f>
        <v>R$ 1.991,82</v>
      </c>
      <c r="H1066" t="str">
        <f t="shared" si="90"/>
        <v>R$ 0,00</v>
      </c>
      <c r="I1066" t="str">
        <f>"R$ 1.991,82"</f>
        <v>R$ 1.991,82</v>
      </c>
      <c r="J1066" t="str">
        <f>"R$ 995,91"</f>
        <v>R$ 995,91</v>
      </c>
      <c r="K1066" t="str">
        <f>"R$ 995,91"</f>
        <v>R$ 995,91</v>
      </c>
    </row>
    <row r="1067" spans="1:11" x14ac:dyDescent="0.25">
      <c r="A1067" t="str">
        <f>"00006572 / 1"</f>
        <v>00006572 / 1</v>
      </c>
      <c r="B1067" t="str">
        <f>"Folha Mensal"</f>
        <v>Folha Mensal</v>
      </c>
      <c r="C1067" t="str">
        <f>"Maria das Gracas Gama Pereira"</f>
        <v>Maria das Gracas Gama Pereira</v>
      </c>
      <c r="D1067" t="str">
        <f t="shared" si="99"/>
        <v>PROFESSOR</v>
      </c>
      <c r="E1067" t="str">
        <f t="shared" si="98"/>
        <v>Efetivo-Inativo I- RJUSM</v>
      </c>
      <c r="F1067" t="str">
        <f>"R$ 1.593,46"</f>
        <v>R$ 1.593,46</v>
      </c>
      <c r="G1067" t="str">
        <f>"R$ 1.991,82"</f>
        <v>R$ 1.991,82</v>
      </c>
      <c r="H1067" t="str">
        <f t="shared" si="90"/>
        <v>R$ 0,00</v>
      </c>
      <c r="I1067" t="str">
        <f>"R$ 1.991,82"</f>
        <v>R$ 1.991,82</v>
      </c>
      <c r="J1067" t="str">
        <f>"R$ 387,93"</f>
        <v>R$ 387,93</v>
      </c>
      <c r="K1067" t="str">
        <f>"R$ 1.603,89"</f>
        <v>R$ 1.603,89</v>
      </c>
    </row>
    <row r="1068" spans="1:11" x14ac:dyDescent="0.25">
      <c r="A1068" t="str">
        <f>"00029351 / 1"</f>
        <v>00029351 / 1</v>
      </c>
      <c r="B1068" t="str">
        <f>"13° Salário Anual"</f>
        <v>13° Salário Anual</v>
      </c>
      <c r="C1068" t="str">
        <f>"Maria das Gracas Lobo da Conceicao"</f>
        <v>Maria das Gracas Lobo da Conceicao</v>
      </c>
      <c r="D1068" t="str">
        <f t="shared" si="99"/>
        <v>PROFESSOR</v>
      </c>
      <c r="E1068" t="str">
        <f t="shared" si="98"/>
        <v>Efetivo-Inativo I- RJUSM</v>
      </c>
      <c r="F1068" t="str">
        <f>"R$ 5.577,14"</f>
        <v>R$ 5.577,14</v>
      </c>
      <c r="G1068" t="str">
        <f>"R$ 6.971,42"</f>
        <v>R$ 6.971,42</v>
      </c>
      <c r="H1068" t="str">
        <f t="shared" si="90"/>
        <v>R$ 0,00</v>
      </c>
      <c r="I1068" t="str">
        <f>"R$ 6.971,42"</f>
        <v>R$ 6.971,42</v>
      </c>
      <c r="J1068" t="str">
        <f>"R$ 4.621,83"</f>
        <v>R$ 4.621,83</v>
      </c>
      <c r="K1068" t="str">
        <f>"R$ 2.349,59"</f>
        <v>R$ 2.349,59</v>
      </c>
    </row>
    <row r="1069" spans="1:11" x14ac:dyDescent="0.25">
      <c r="A1069" t="str">
        <f>"00029351 / 1"</f>
        <v>00029351 / 1</v>
      </c>
      <c r="B1069" t="str">
        <f>"Folha Mensal"</f>
        <v>Folha Mensal</v>
      </c>
      <c r="C1069" t="str">
        <f>"Maria das Gracas Lobo da Conceicao"</f>
        <v>Maria das Gracas Lobo da Conceicao</v>
      </c>
      <c r="D1069" t="str">
        <f t="shared" si="99"/>
        <v>PROFESSOR</v>
      </c>
      <c r="E1069" t="str">
        <f t="shared" si="98"/>
        <v>Efetivo-Inativo I- RJUSM</v>
      </c>
      <c r="F1069" t="str">
        <f>"R$ 5.577,14"</f>
        <v>R$ 5.577,14</v>
      </c>
      <c r="G1069" t="str">
        <f>"R$ 6.971,42"</f>
        <v>R$ 6.971,42</v>
      </c>
      <c r="H1069" t="str">
        <f t="shared" si="90"/>
        <v>R$ 0,00</v>
      </c>
      <c r="I1069" t="str">
        <f>"R$ 6.971,42"</f>
        <v>R$ 6.971,42</v>
      </c>
      <c r="J1069" t="str">
        <f>"R$ 3.066,80"</f>
        <v>R$ 3.066,80</v>
      </c>
      <c r="K1069" t="str">
        <f>"R$ 3.904,62"</f>
        <v>R$ 3.904,62</v>
      </c>
    </row>
    <row r="1070" spans="1:11" x14ac:dyDescent="0.25">
      <c r="A1070" t="str">
        <f>"00029866 / 1"</f>
        <v>00029866 / 1</v>
      </c>
      <c r="B1070" t="str">
        <f>"13° Salário Anual"</f>
        <v>13° Salário Anual</v>
      </c>
      <c r="C1070" t="str">
        <f>"Maria das Gracas Macedo Sousa"</f>
        <v>Maria das Gracas Macedo Sousa</v>
      </c>
      <c r="D1070" t="str">
        <f t="shared" si="99"/>
        <v>PROFESSOR</v>
      </c>
      <c r="E1070" t="str">
        <f t="shared" si="98"/>
        <v>Efetivo-Inativo I- RJUSM</v>
      </c>
      <c r="F1070" t="str">
        <f>"R$ 1.593,46"</f>
        <v>R$ 1.593,46</v>
      </c>
      <c r="G1070" t="str">
        <f>"R$ 1.912,15"</f>
        <v>R$ 1.912,15</v>
      </c>
      <c r="H1070" t="str">
        <f t="shared" si="90"/>
        <v>R$ 0,00</v>
      </c>
      <c r="I1070" t="str">
        <f>"R$ 1.912,15"</f>
        <v>R$ 1.912,15</v>
      </c>
      <c r="J1070" t="str">
        <f>"R$ 956,07"</f>
        <v>R$ 956,07</v>
      </c>
      <c r="K1070" t="str">
        <f>"R$ 956,08"</f>
        <v>R$ 956,08</v>
      </c>
    </row>
    <row r="1071" spans="1:11" x14ac:dyDescent="0.25">
      <c r="A1071" t="str">
        <f>"00029866 / 1"</f>
        <v>00029866 / 1</v>
      </c>
      <c r="B1071" t="str">
        <f>"Folha Mensal"</f>
        <v>Folha Mensal</v>
      </c>
      <c r="C1071" t="str">
        <f>"Maria das Gracas Macedo Sousa"</f>
        <v>Maria das Gracas Macedo Sousa</v>
      </c>
      <c r="D1071" t="str">
        <f t="shared" si="99"/>
        <v>PROFESSOR</v>
      </c>
      <c r="E1071" t="str">
        <f t="shared" si="98"/>
        <v>Efetivo-Inativo I- RJUSM</v>
      </c>
      <c r="F1071" t="str">
        <f>"R$ 1.593,46"</f>
        <v>R$ 1.593,46</v>
      </c>
      <c r="G1071" t="str">
        <f>"R$ 1.912,15"</f>
        <v>R$ 1.912,15</v>
      </c>
      <c r="H1071" t="str">
        <f t="shared" si="90"/>
        <v>R$ 0,00</v>
      </c>
      <c r="I1071" t="str">
        <f>"R$ 1.912,15"</f>
        <v>R$ 1.912,15</v>
      </c>
      <c r="J1071" t="str">
        <f>"R$ 0,00"</f>
        <v>R$ 0,00</v>
      </c>
      <c r="K1071" t="str">
        <f>"R$ 1.912,15"</f>
        <v>R$ 1.912,15</v>
      </c>
    </row>
    <row r="1072" spans="1:11" x14ac:dyDescent="0.25">
      <c r="A1072" t="str">
        <f>"00002550 / 1"</f>
        <v>00002550 / 1</v>
      </c>
      <c r="B1072" t="str">
        <f>"13° Salário Anual"</f>
        <v>13° Salário Anual</v>
      </c>
      <c r="C1072" t="str">
        <f>"Maria das Gracas Martins Correa"</f>
        <v>Maria das Gracas Martins Correa</v>
      </c>
      <c r="D1072" t="str">
        <f>"INT TEMP CONTRIBUICAO"</f>
        <v>INT TEMP CONTRIBUICAO</v>
      </c>
      <c r="E1072" t="str">
        <f>"Efetivo-Inativos II-RJUSM"</f>
        <v>Efetivo-Inativos II-RJUSM</v>
      </c>
      <c r="F1072" t="str">
        <f>"R$ 1.100,00"</f>
        <v>R$ 1.100,00</v>
      </c>
      <c r="G1072" t="str">
        <f>"R$ 1.430,00"</f>
        <v>R$ 1.430,00</v>
      </c>
      <c r="H1072" t="str">
        <f t="shared" si="90"/>
        <v>R$ 0,00</v>
      </c>
      <c r="I1072" t="str">
        <f>"R$ 1.430,00"</f>
        <v>R$ 1.430,00</v>
      </c>
      <c r="J1072" t="str">
        <f>"R$ 715,00"</f>
        <v>R$ 715,00</v>
      </c>
      <c r="K1072" t="str">
        <f>"R$ 715,00"</f>
        <v>R$ 715,00</v>
      </c>
    </row>
    <row r="1073" spans="1:11" x14ac:dyDescent="0.25">
      <c r="A1073" t="str">
        <f>"00002550 / 1"</f>
        <v>00002550 / 1</v>
      </c>
      <c r="B1073" t="str">
        <f>"Folha Mensal"</f>
        <v>Folha Mensal</v>
      </c>
      <c r="C1073" t="str">
        <f>"Maria das Gracas Martins Correa"</f>
        <v>Maria das Gracas Martins Correa</v>
      </c>
      <c r="D1073" t="str">
        <f>"INT TEMP CONTRIBUICAO"</f>
        <v>INT TEMP CONTRIBUICAO</v>
      </c>
      <c r="E1073" t="str">
        <f>"Efetivo-Inativos II-RJUSM"</f>
        <v>Efetivo-Inativos II-RJUSM</v>
      </c>
      <c r="F1073" t="str">
        <f>"R$ 1.100,00"</f>
        <v>R$ 1.100,00</v>
      </c>
      <c r="G1073" t="str">
        <f>"R$ 1.430,00"</f>
        <v>R$ 1.430,00</v>
      </c>
      <c r="H1073" t="str">
        <f t="shared" si="90"/>
        <v>R$ 0,00</v>
      </c>
      <c r="I1073" t="str">
        <f>"R$ 1.430,00"</f>
        <v>R$ 1.430,00</v>
      </c>
      <c r="J1073" t="str">
        <f>"R$ 0,00"</f>
        <v>R$ 0,00</v>
      </c>
      <c r="K1073" t="str">
        <f>"R$ 1.430,00"</f>
        <v>R$ 1.430,00</v>
      </c>
    </row>
    <row r="1074" spans="1:11" x14ac:dyDescent="0.25">
      <c r="A1074" t="str">
        <f>"00022241 / 1"</f>
        <v>00022241 / 1</v>
      </c>
      <c r="B1074" t="str">
        <f>"13° Salário Anual"</f>
        <v>13° Salário Anual</v>
      </c>
      <c r="C1074" t="str">
        <f>"Maria das Gracas Oliveira da Silva"</f>
        <v>Maria das Gracas Oliveira da Silva</v>
      </c>
      <c r="D1074" t="str">
        <f>"PROP IDADE"</f>
        <v>PROP IDADE</v>
      </c>
      <c r="E1074" t="str">
        <f t="shared" ref="E1074:E1093" si="100">"Efetivo-Inativo I- RJUSM"</f>
        <v>Efetivo-Inativo I- RJUSM</v>
      </c>
      <c r="F1074" t="str">
        <f>"R$ 1.100,00"</f>
        <v>R$ 1.100,00</v>
      </c>
      <c r="G1074" t="str">
        <f>"R$ 1.100,00"</f>
        <v>R$ 1.100,00</v>
      </c>
      <c r="H1074" t="str">
        <f t="shared" ref="H1074:H1137" si="101">"R$ 0,00"</f>
        <v>R$ 0,00</v>
      </c>
      <c r="I1074" t="str">
        <f>"R$ 1.100,00"</f>
        <v>R$ 1.100,00</v>
      </c>
      <c r="J1074" t="str">
        <f>"R$ 550,00"</f>
        <v>R$ 550,00</v>
      </c>
      <c r="K1074" t="str">
        <f>"R$ 550,00"</f>
        <v>R$ 550,00</v>
      </c>
    </row>
    <row r="1075" spans="1:11" x14ac:dyDescent="0.25">
      <c r="A1075" t="str">
        <f>"00022241 / 1"</f>
        <v>00022241 / 1</v>
      </c>
      <c r="B1075" t="str">
        <f>"Folha Mensal"</f>
        <v>Folha Mensal</v>
      </c>
      <c r="C1075" t="str">
        <f>"Maria das Gracas Oliveira da Silva"</f>
        <v>Maria das Gracas Oliveira da Silva</v>
      </c>
      <c r="D1075" t="str">
        <f>"PROP IDADE"</f>
        <v>PROP IDADE</v>
      </c>
      <c r="E1075" t="str">
        <f t="shared" si="100"/>
        <v>Efetivo-Inativo I- RJUSM</v>
      </c>
      <c r="F1075" t="str">
        <f>"R$ 1.100,00"</f>
        <v>R$ 1.100,00</v>
      </c>
      <c r="G1075" t="str">
        <f>"R$ 1.100,00"</f>
        <v>R$ 1.100,00</v>
      </c>
      <c r="H1075" t="str">
        <f t="shared" si="101"/>
        <v>R$ 0,00</v>
      </c>
      <c r="I1075" t="str">
        <f>"R$ 1.100,00"</f>
        <v>R$ 1.100,00</v>
      </c>
      <c r="J1075" t="str">
        <f>"R$ 0,00"</f>
        <v>R$ 0,00</v>
      </c>
      <c r="K1075" t="str">
        <f>"R$ 1.100,00"</f>
        <v>R$ 1.100,00</v>
      </c>
    </row>
    <row r="1076" spans="1:11" x14ac:dyDescent="0.25">
      <c r="A1076" t="str">
        <f>"00027014 / 1"</f>
        <v>00027014 / 1</v>
      </c>
      <c r="B1076" t="str">
        <f>"13° Salário Anual"</f>
        <v>13° Salário Anual</v>
      </c>
      <c r="C1076" t="str">
        <f>"Maria das Gracas Sales Damasceno"</f>
        <v>Maria das Gracas Sales Damasceno</v>
      </c>
      <c r="D1076" t="str">
        <f>"PROFESSOR NIVEL II"</f>
        <v>PROFESSOR NIVEL II</v>
      </c>
      <c r="E1076" t="str">
        <f t="shared" si="100"/>
        <v>Efetivo-Inativo I- RJUSM</v>
      </c>
      <c r="F1076" t="str">
        <f>"R$ 2.230,85"</f>
        <v>R$ 2.230,85</v>
      </c>
      <c r="G1076" t="str">
        <f>"R$ 5.019,41"</f>
        <v>R$ 5.019,41</v>
      </c>
      <c r="H1076" t="str">
        <f t="shared" si="101"/>
        <v>R$ 0,00</v>
      </c>
      <c r="I1076" t="str">
        <f>"R$ 5.019,41"</f>
        <v>R$ 5.019,41</v>
      </c>
      <c r="J1076" t="str">
        <f>"R$ 2.968,54"</f>
        <v>R$ 2.968,54</v>
      </c>
      <c r="K1076" t="str">
        <f>"R$ 2.050,87"</f>
        <v>R$ 2.050,87</v>
      </c>
    </row>
    <row r="1077" spans="1:11" x14ac:dyDescent="0.25">
      <c r="A1077" t="str">
        <f>"00027014 / 1"</f>
        <v>00027014 / 1</v>
      </c>
      <c r="B1077" t="str">
        <f>"Folha Mensal"</f>
        <v>Folha Mensal</v>
      </c>
      <c r="C1077" t="str">
        <f>"Maria das Gracas Sales Damasceno"</f>
        <v>Maria das Gracas Sales Damasceno</v>
      </c>
      <c r="D1077" t="str">
        <f>"PROFESSOR NIVEL II"</f>
        <v>PROFESSOR NIVEL II</v>
      </c>
      <c r="E1077" t="str">
        <f t="shared" si="100"/>
        <v>Efetivo-Inativo I- RJUSM</v>
      </c>
      <c r="F1077" t="str">
        <f>"R$ 2.230,85"</f>
        <v>R$ 2.230,85</v>
      </c>
      <c r="G1077" t="str">
        <f>"R$ 5.019,41"</f>
        <v>R$ 5.019,41</v>
      </c>
      <c r="H1077" t="str">
        <f t="shared" si="101"/>
        <v>R$ 0,00</v>
      </c>
      <c r="I1077" t="str">
        <f>"R$ 5.019,41"</f>
        <v>R$ 5.019,41</v>
      </c>
      <c r="J1077" t="str">
        <f>"R$ 1.410,73"</f>
        <v>R$ 1.410,73</v>
      </c>
      <c r="K1077" t="str">
        <f>"R$ 3.608,68"</f>
        <v>R$ 3.608,68</v>
      </c>
    </row>
    <row r="1078" spans="1:11" x14ac:dyDescent="0.25">
      <c r="A1078" t="str">
        <f>"00006190 / 1"</f>
        <v>00006190 / 1</v>
      </c>
      <c r="B1078" t="str">
        <f>"13° Salário Anual"</f>
        <v>13° Salário Anual</v>
      </c>
      <c r="C1078" t="str">
        <f>"Maria das Gracas Santos da Silva"</f>
        <v>Maria das Gracas Santos da Silva</v>
      </c>
      <c r="D1078" t="str">
        <f t="shared" ref="D1078:D1083" si="102">"PROFESSOR"</f>
        <v>PROFESSOR</v>
      </c>
      <c r="E1078" t="str">
        <f t="shared" si="100"/>
        <v>Efetivo-Inativo I- RJUSM</v>
      </c>
      <c r="F1078" t="str">
        <f>"R$ 1.593,46"</f>
        <v>R$ 1.593,46</v>
      </c>
      <c r="G1078" t="str">
        <f>"R$ 1.991,82"</f>
        <v>R$ 1.991,82</v>
      </c>
      <c r="H1078" t="str">
        <f t="shared" si="101"/>
        <v>R$ 0,00</v>
      </c>
      <c r="I1078" t="str">
        <f>"R$ 1.991,82"</f>
        <v>R$ 1.991,82</v>
      </c>
      <c r="J1078" t="str">
        <f>"R$ 995,91"</f>
        <v>R$ 995,91</v>
      </c>
      <c r="K1078" t="str">
        <f>"R$ 995,91"</f>
        <v>R$ 995,91</v>
      </c>
    </row>
    <row r="1079" spans="1:11" x14ac:dyDescent="0.25">
      <c r="A1079" t="str">
        <f>"00006190 / 1"</f>
        <v>00006190 / 1</v>
      </c>
      <c r="B1079" t="str">
        <f>"Folha Mensal"</f>
        <v>Folha Mensal</v>
      </c>
      <c r="C1079" t="str">
        <f>"Maria das Gracas Santos da Silva"</f>
        <v>Maria das Gracas Santos da Silva</v>
      </c>
      <c r="D1079" t="str">
        <f t="shared" si="102"/>
        <v>PROFESSOR</v>
      </c>
      <c r="E1079" t="str">
        <f t="shared" si="100"/>
        <v>Efetivo-Inativo I- RJUSM</v>
      </c>
      <c r="F1079" t="str">
        <f>"R$ 1.593,46"</f>
        <v>R$ 1.593,46</v>
      </c>
      <c r="G1079" t="str">
        <f>"R$ 1.991,82"</f>
        <v>R$ 1.991,82</v>
      </c>
      <c r="H1079" t="str">
        <f t="shared" si="101"/>
        <v>R$ 0,00</v>
      </c>
      <c r="I1079" t="str">
        <f>"R$ 1.991,82"</f>
        <v>R$ 1.991,82</v>
      </c>
      <c r="J1079" t="str">
        <f>"R$ 0,00"</f>
        <v>R$ 0,00</v>
      </c>
      <c r="K1079" t="str">
        <f>"R$ 1.991,82"</f>
        <v>R$ 1.991,82</v>
      </c>
    </row>
    <row r="1080" spans="1:11" x14ac:dyDescent="0.25">
      <c r="A1080" t="str">
        <f>"00005088 / 1"</f>
        <v>00005088 / 1</v>
      </c>
      <c r="B1080" t="str">
        <f>"13° Salário Anual"</f>
        <v>13° Salário Anual</v>
      </c>
      <c r="C1080" t="str">
        <f>"Maria das Gracas Santos da Silva Seixas"</f>
        <v>Maria das Gracas Santos da Silva Seixas</v>
      </c>
      <c r="D1080" t="str">
        <f t="shared" si="102"/>
        <v>PROFESSOR</v>
      </c>
      <c r="E1080" t="str">
        <f t="shared" si="100"/>
        <v>Efetivo-Inativo I- RJUSM</v>
      </c>
      <c r="F1080" t="str">
        <f>"R$ 1.593,46"</f>
        <v>R$ 1.593,46</v>
      </c>
      <c r="G1080" t="str">
        <f>"R$ 1.912,15"</f>
        <v>R$ 1.912,15</v>
      </c>
      <c r="H1080" t="str">
        <f t="shared" si="101"/>
        <v>R$ 0,00</v>
      </c>
      <c r="I1080" t="str">
        <f>"R$ 1.912,15"</f>
        <v>R$ 1.912,15</v>
      </c>
      <c r="J1080" t="str">
        <f>"R$ 956,07"</f>
        <v>R$ 956,07</v>
      </c>
      <c r="K1080" t="str">
        <f>"R$ 956,08"</f>
        <v>R$ 956,08</v>
      </c>
    </row>
    <row r="1081" spans="1:11" x14ac:dyDescent="0.25">
      <c r="A1081" t="str">
        <f>"00005088 / 1"</f>
        <v>00005088 / 1</v>
      </c>
      <c r="B1081" t="str">
        <f>"Folha Mensal"</f>
        <v>Folha Mensal</v>
      </c>
      <c r="C1081" t="str">
        <f>"Maria das Gracas Santos da Silva Seixas"</f>
        <v>Maria das Gracas Santos da Silva Seixas</v>
      </c>
      <c r="D1081" t="str">
        <f t="shared" si="102"/>
        <v>PROFESSOR</v>
      </c>
      <c r="E1081" t="str">
        <f t="shared" si="100"/>
        <v>Efetivo-Inativo I- RJUSM</v>
      </c>
      <c r="F1081" t="str">
        <f>"R$ 1.593,46"</f>
        <v>R$ 1.593,46</v>
      </c>
      <c r="G1081" t="str">
        <f>"R$ 1.912,15"</f>
        <v>R$ 1.912,15</v>
      </c>
      <c r="H1081" t="str">
        <f t="shared" si="101"/>
        <v>R$ 0,00</v>
      </c>
      <c r="I1081" t="str">
        <f>"R$ 1.912,15"</f>
        <v>R$ 1.912,15</v>
      </c>
      <c r="J1081" t="str">
        <f>"R$ 199,36"</f>
        <v>R$ 199,36</v>
      </c>
      <c r="K1081" t="str">
        <f>"R$ 1.712,79"</f>
        <v>R$ 1.712,79</v>
      </c>
    </row>
    <row r="1082" spans="1:11" x14ac:dyDescent="0.25">
      <c r="A1082" t="str">
        <f>"00001155 / 2"</f>
        <v>00001155 / 2</v>
      </c>
      <c r="B1082" t="str">
        <f>"13° Salário Anual"</f>
        <v>13° Salário Anual</v>
      </c>
      <c r="C1082" t="str">
        <f>"Maria das Gracas Serrao"</f>
        <v>Maria das Gracas Serrao</v>
      </c>
      <c r="D1082" t="str">
        <f t="shared" si="102"/>
        <v>PROFESSOR</v>
      </c>
      <c r="E1082" t="str">
        <f t="shared" si="100"/>
        <v>Efetivo-Inativo I- RJUSM</v>
      </c>
      <c r="F1082" t="str">
        <f>"R$ 2.230,85"</f>
        <v>R$ 2.230,85</v>
      </c>
      <c r="G1082" t="str">
        <f>"R$ 2.900,10"</f>
        <v>R$ 2.900,10</v>
      </c>
      <c r="H1082" t="str">
        <f t="shared" si="101"/>
        <v>R$ 0,00</v>
      </c>
      <c r="I1082" t="str">
        <f>"R$ 2.900,10"</f>
        <v>R$ 2.900,10</v>
      </c>
      <c r="J1082" t="str">
        <f>"R$ 1.450,05"</f>
        <v>R$ 1.450,05</v>
      </c>
      <c r="K1082" t="str">
        <f>"R$ 1.450,05"</f>
        <v>R$ 1.450,05</v>
      </c>
    </row>
    <row r="1083" spans="1:11" x14ac:dyDescent="0.25">
      <c r="A1083" t="str">
        <f>"00001155 / 2"</f>
        <v>00001155 / 2</v>
      </c>
      <c r="B1083" t="str">
        <f>"Folha Mensal"</f>
        <v>Folha Mensal</v>
      </c>
      <c r="C1083" t="str">
        <f>"Maria das Gracas Serrao"</f>
        <v>Maria das Gracas Serrao</v>
      </c>
      <c r="D1083" t="str">
        <f t="shared" si="102"/>
        <v>PROFESSOR</v>
      </c>
      <c r="E1083" t="str">
        <f t="shared" si="100"/>
        <v>Efetivo-Inativo I- RJUSM</v>
      </c>
      <c r="F1083" t="str">
        <f>"R$ 2.230,85"</f>
        <v>R$ 2.230,85</v>
      </c>
      <c r="G1083" t="str">
        <f>"R$ 2.900,10"</f>
        <v>R$ 2.900,10</v>
      </c>
      <c r="H1083" t="str">
        <f t="shared" si="101"/>
        <v>R$ 0,00</v>
      </c>
      <c r="I1083" t="str">
        <f>"R$ 2.900,10"</f>
        <v>R$ 2.900,10</v>
      </c>
      <c r="J1083" t="str">
        <f>"R$ 864,82"</f>
        <v>R$ 864,82</v>
      </c>
      <c r="K1083" t="str">
        <f>"R$ 2.035,28"</f>
        <v>R$ 2.035,28</v>
      </c>
    </row>
    <row r="1084" spans="1:11" x14ac:dyDescent="0.25">
      <c r="A1084" t="str">
        <f>"00008230 / 1"</f>
        <v>00008230 / 1</v>
      </c>
      <c r="B1084" t="str">
        <f>"13° Salário Anual"</f>
        <v>13° Salário Anual</v>
      </c>
      <c r="C1084" t="str">
        <f>"Maria das Gracas Serrao de Sousa"</f>
        <v>Maria das Gracas Serrao de Sousa</v>
      </c>
      <c r="D1084" t="str">
        <f>"INT TEMP CONTRIBUICAO"</f>
        <v>INT TEMP CONTRIBUICAO</v>
      </c>
      <c r="E1084" t="str">
        <f t="shared" si="100"/>
        <v>Efetivo-Inativo I- RJUSM</v>
      </c>
      <c r="F1084" t="str">
        <f t="shared" ref="F1084:F1089" si="103">"R$ 1.100,00"</f>
        <v>R$ 1.100,00</v>
      </c>
      <c r="G1084" t="str">
        <f>"R$ 1.778,87"</f>
        <v>R$ 1.778,87</v>
      </c>
      <c r="H1084" t="str">
        <f t="shared" si="101"/>
        <v>R$ 0,00</v>
      </c>
      <c r="I1084" t="str">
        <f>"R$ 1.778,87"</f>
        <v>R$ 1.778,87</v>
      </c>
      <c r="J1084" t="str">
        <f>"R$ 889,43"</f>
        <v>R$ 889,43</v>
      </c>
      <c r="K1084" t="str">
        <f>"R$ 889,44"</f>
        <v>R$ 889,44</v>
      </c>
    </row>
    <row r="1085" spans="1:11" x14ac:dyDescent="0.25">
      <c r="A1085" t="str">
        <f>"00008230 / 1"</f>
        <v>00008230 / 1</v>
      </c>
      <c r="B1085" t="str">
        <f>"Folha Mensal"</f>
        <v>Folha Mensal</v>
      </c>
      <c r="C1085" t="str">
        <f>"Maria das Gracas Serrao de Sousa"</f>
        <v>Maria das Gracas Serrao de Sousa</v>
      </c>
      <c r="D1085" t="str">
        <f>"INT TEMP CONTRIBUICAO"</f>
        <v>INT TEMP CONTRIBUICAO</v>
      </c>
      <c r="E1085" t="str">
        <f t="shared" si="100"/>
        <v>Efetivo-Inativo I- RJUSM</v>
      </c>
      <c r="F1085" t="str">
        <f t="shared" si="103"/>
        <v>R$ 1.100,00</v>
      </c>
      <c r="G1085" t="str">
        <f>"R$ 1.778,87"</f>
        <v>R$ 1.778,87</v>
      </c>
      <c r="H1085" t="str">
        <f t="shared" si="101"/>
        <v>R$ 0,00</v>
      </c>
      <c r="I1085" t="str">
        <f>"R$ 1.778,87"</f>
        <v>R$ 1.778,87</v>
      </c>
      <c r="J1085" t="str">
        <f>"R$ 0,00"</f>
        <v>R$ 0,00</v>
      </c>
      <c r="K1085" t="str">
        <f>"R$ 1.778,87"</f>
        <v>R$ 1.778,87</v>
      </c>
    </row>
    <row r="1086" spans="1:11" x14ac:dyDescent="0.25">
      <c r="A1086" t="str">
        <f>"00028622 / 1"</f>
        <v>00028622 / 1</v>
      </c>
      <c r="B1086" t="str">
        <f>"13° Salário Anual"</f>
        <v>13° Salário Anual</v>
      </c>
      <c r="C1086" t="str">
        <f>"Maria das Gracas Silva Costa Mendes"</f>
        <v>Maria das Gracas Silva Costa Mendes</v>
      </c>
      <c r="D1086" t="str">
        <f>"PROP IDADE"</f>
        <v>PROP IDADE</v>
      </c>
      <c r="E1086" t="str">
        <f t="shared" si="100"/>
        <v>Efetivo-Inativo I- RJUSM</v>
      </c>
      <c r="F1086" t="str">
        <f t="shared" si="103"/>
        <v>R$ 1.100,00</v>
      </c>
      <c r="G1086" t="str">
        <f>"R$ 1.100,00"</f>
        <v>R$ 1.100,00</v>
      </c>
      <c r="H1086" t="str">
        <f t="shared" si="101"/>
        <v>R$ 0,00</v>
      </c>
      <c r="I1086" t="str">
        <f>"R$ 1.100,00"</f>
        <v>R$ 1.100,00</v>
      </c>
      <c r="J1086" t="str">
        <f>"R$ 550,00"</f>
        <v>R$ 550,00</v>
      </c>
      <c r="K1086" t="str">
        <f>"R$ 550,00"</f>
        <v>R$ 550,00</v>
      </c>
    </row>
    <row r="1087" spans="1:11" x14ac:dyDescent="0.25">
      <c r="A1087" t="str">
        <f>"00028622 / 1"</f>
        <v>00028622 / 1</v>
      </c>
      <c r="B1087" t="str">
        <f>"Folha Mensal"</f>
        <v>Folha Mensal</v>
      </c>
      <c r="C1087" t="str">
        <f>"Maria das Gracas Silva Costa Mendes"</f>
        <v>Maria das Gracas Silva Costa Mendes</v>
      </c>
      <c r="D1087" t="str">
        <f>"PROP IDADE"</f>
        <v>PROP IDADE</v>
      </c>
      <c r="E1087" t="str">
        <f t="shared" si="100"/>
        <v>Efetivo-Inativo I- RJUSM</v>
      </c>
      <c r="F1087" t="str">
        <f t="shared" si="103"/>
        <v>R$ 1.100,00</v>
      </c>
      <c r="G1087" t="str">
        <f>"R$ 1.100,00"</f>
        <v>R$ 1.100,00</v>
      </c>
      <c r="H1087" t="str">
        <f t="shared" si="101"/>
        <v>R$ 0,00</v>
      </c>
      <c r="I1087" t="str">
        <f>"R$ 1.100,00"</f>
        <v>R$ 1.100,00</v>
      </c>
      <c r="J1087" t="str">
        <f>"R$ 0,00"</f>
        <v>R$ 0,00</v>
      </c>
      <c r="K1087" t="str">
        <f>"R$ 1.100,00"</f>
        <v>R$ 1.100,00</v>
      </c>
    </row>
    <row r="1088" spans="1:11" x14ac:dyDescent="0.25">
      <c r="A1088" t="str">
        <f>"00005231 / 1"</f>
        <v>00005231 / 1</v>
      </c>
      <c r="B1088" t="str">
        <f>"13° Salário Anual"</f>
        <v>13° Salário Anual</v>
      </c>
      <c r="C1088" t="str">
        <f>"Maria das Gracas Soares Ribeiro"</f>
        <v>Maria das Gracas Soares Ribeiro</v>
      </c>
      <c r="D1088" t="str">
        <f>"PROP IDADE"</f>
        <v>PROP IDADE</v>
      </c>
      <c r="E1088" t="str">
        <f t="shared" si="100"/>
        <v>Efetivo-Inativo I- RJUSM</v>
      </c>
      <c r="F1088" t="str">
        <f t="shared" si="103"/>
        <v>R$ 1.100,00</v>
      </c>
      <c r="G1088" t="str">
        <f>"R$ 1.100,00"</f>
        <v>R$ 1.100,00</v>
      </c>
      <c r="H1088" t="str">
        <f t="shared" si="101"/>
        <v>R$ 0,00</v>
      </c>
      <c r="I1088" t="str">
        <f>"R$ 1.100,00"</f>
        <v>R$ 1.100,00</v>
      </c>
      <c r="J1088" t="str">
        <f>"R$ 550,00"</f>
        <v>R$ 550,00</v>
      </c>
      <c r="K1088" t="str">
        <f>"R$ 550,00"</f>
        <v>R$ 550,00</v>
      </c>
    </row>
    <row r="1089" spans="1:11" x14ac:dyDescent="0.25">
      <c r="A1089" t="str">
        <f>"00005231 / 1"</f>
        <v>00005231 / 1</v>
      </c>
      <c r="B1089" t="str">
        <f>"Folha Mensal"</f>
        <v>Folha Mensal</v>
      </c>
      <c r="C1089" t="str">
        <f>"Maria das Gracas Soares Ribeiro"</f>
        <v>Maria das Gracas Soares Ribeiro</v>
      </c>
      <c r="D1089" t="str">
        <f>"PROP IDADE"</f>
        <v>PROP IDADE</v>
      </c>
      <c r="E1089" t="str">
        <f t="shared" si="100"/>
        <v>Efetivo-Inativo I- RJUSM</v>
      </c>
      <c r="F1089" t="str">
        <f t="shared" si="103"/>
        <v>R$ 1.100,00</v>
      </c>
      <c r="G1089" t="str">
        <f>"R$ 1.100,00"</f>
        <v>R$ 1.100,00</v>
      </c>
      <c r="H1089" t="str">
        <f t="shared" si="101"/>
        <v>R$ 0,00</v>
      </c>
      <c r="I1089" t="str">
        <f>"R$ 1.100,00"</f>
        <v>R$ 1.100,00</v>
      </c>
      <c r="J1089" t="str">
        <f>"R$ 166,37"</f>
        <v>R$ 166,37</v>
      </c>
      <c r="K1089" t="str">
        <f>"R$ 933,63"</f>
        <v>R$ 933,63</v>
      </c>
    </row>
    <row r="1090" spans="1:11" x14ac:dyDescent="0.25">
      <c r="A1090" t="str">
        <f>"00023892 / 1"</f>
        <v>00023892 / 1</v>
      </c>
      <c r="B1090" t="str">
        <f>"13° Salário Anual"</f>
        <v>13° Salário Anual</v>
      </c>
      <c r="C1090" t="str">
        <f>"Maria das Gracas Teixeira de Carvalho"</f>
        <v>Maria das Gracas Teixeira de Carvalho</v>
      </c>
      <c r="D1090" t="str">
        <f>"PROFESSOR"</f>
        <v>PROFESSOR</v>
      </c>
      <c r="E1090" t="str">
        <f t="shared" si="100"/>
        <v>Efetivo-Inativo I- RJUSM</v>
      </c>
      <c r="F1090" t="str">
        <f>"R$ 3.186,94"</f>
        <v>R$ 3.186,94</v>
      </c>
      <c r="G1090" t="str">
        <f>"R$ 4.143,02"</f>
        <v>R$ 4.143,02</v>
      </c>
      <c r="H1090" t="str">
        <f t="shared" si="101"/>
        <v>R$ 0,00</v>
      </c>
      <c r="I1090" t="str">
        <f>"R$ 4.143,02"</f>
        <v>R$ 4.143,02</v>
      </c>
      <c r="J1090" t="str">
        <f>"R$ 2.071,51"</f>
        <v>R$ 2.071,51</v>
      </c>
      <c r="K1090" t="str">
        <f>"R$ 2.071,51"</f>
        <v>R$ 2.071,51</v>
      </c>
    </row>
    <row r="1091" spans="1:11" x14ac:dyDescent="0.25">
      <c r="A1091" t="str">
        <f>"00023892 / 1"</f>
        <v>00023892 / 1</v>
      </c>
      <c r="B1091" t="str">
        <f>"Folha Mensal"</f>
        <v>Folha Mensal</v>
      </c>
      <c r="C1091" t="str">
        <f>"Maria das Gracas Teixeira de Carvalho"</f>
        <v>Maria das Gracas Teixeira de Carvalho</v>
      </c>
      <c r="D1091" t="str">
        <f>"PROFESSOR"</f>
        <v>PROFESSOR</v>
      </c>
      <c r="E1091" t="str">
        <f t="shared" si="100"/>
        <v>Efetivo-Inativo I- RJUSM</v>
      </c>
      <c r="F1091" t="str">
        <f>"R$ 3.186,94"</f>
        <v>R$ 3.186,94</v>
      </c>
      <c r="G1091" t="str">
        <f>"R$ 4.143,02"</f>
        <v>R$ 4.143,02</v>
      </c>
      <c r="H1091" t="str">
        <f t="shared" si="101"/>
        <v>R$ 0,00</v>
      </c>
      <c r="I1091" t="str">
        <f>"R$ 4.143,02"</f>
        <v>R$ 4.143,02</v>
      </c>
      <c r="J1091" t="str">
        <f>"R$ 182,39"</f>
        <v>R$ 182,39</v>
      </c>
      <c r="K1091" t="str">
        <f>"R$ 3.960,63"</f>
        <v>R$ 3.960,63</v>
      </c>
    </row>
    <row r="1092" spans="1:11" x14ac:dyDescent="0.25">
      <c r="A1092" t="str">
        <f>"00036382 / 1"</f>
        <v>00036382 / 1</v>
      </c>
      <c r="B1092" t="str">
        <f>"13° Salário Anual"</f>
        <v>13° Salário Anual</v>
      </c>
      <c r="C1092" t="str">
        <f>"Maria das Gracas Vasconcelos dos Santos"</f>
        <v>Maria das Gracas Vasconcelos dos Santos</v>
      </c>
      <c r="D1092" t="str">
        <f>"INT TEMP CONTRIBUICAO"</f>
        <v>INT TEMP CONTRIBUICAO</v>
      </c>
      <c r="E1092" t="str">
        <f t="shared" si="100"/>
        <v>Efetivo-Inativo I- RJUSM</v>
      </c>
      <c r="F1092" t="str">
        <f>"R$ 1.100,00"</f>
        <v>R$ 1.100,00</v>
      </c>
      <c r="G1092" t="str">
        <f>"R$ 1.375,00"</f>
        <v>R$ 1.375,00</v>
      </c>
      <c r="H1092" t="str">
        <f t="shared" si="101"/>
        <v>R$ 0,00</v>
      </c>
      <c r="I1092" t="str">
        <f>"R$ 1.375,00"</f>
        <v>R$ 1.375,00</v>
      </c>
      <c r="J1092" t="str">
        <f>"R$ 687,50"</f>
        <v>R$ 687,50</v>
      </c>
      <c r="K1092" t="str">
        <f>"R$ 687,50"</f>
        <v>R$ 687,50</v>
      </c>
    </row>
    <row r="1093" spans="1:11" x14ac:dyDescent="0.25">
      <c r="A1093" t="str">
        <f>"00036382 / 1"</f>
        <v>00036382 / 1</v>
      </c>
      <c r="B1093" t="str">
        <f>"Folha Mensal"</f>
        <v>Folha Mensal</v>
      </c>
      <c r="C1093" t="str">
        <f>"Maria das Gracas Vasconcelos dos Santos"</f>
        <v>Maria das Gracas Vasconcelos dos Santos</v>
      </c>
      <c r="D1093" t="str">
        <f>"INT TEMP CONTRIBUICAO"</f>
        <v>INT TEMP CONTRIBUICAO</v>
      </c>
      <c r="E1093" t="str">
        <f t="shared" si="100"/>
        <v>Efetivo-Inativo I- RJUSM</v>
      </c>
      <c r="F1093" t="str">
        <f>"R$ 1.100,00"</f>
        <v>R$ 1.100,00</v>
      </c>
      <c r="G1093" t="str">
        <f>"R$ 1.375,00"</f>
        <v>R$ 1.375,00</v>
      </c>
      <c r="H1093" t="str">
        <f t="shared" si="101"/>
        <v>R$ 0,00</v>
      </c>
      <c r="I1093" t="str">
        <f>"R$ 1.375,00"</f>
        <v>R$ 1.375,00</v>
      </c>
      <c r="J1093" t="str">
        <f>"R$ 0,00"</f>
        <v>R$ 0,00</v>
      </c>
      <c r="K1093" t="str">
        <f>"R$ 1.375,00"</f>
        <v>R$ 1.375,00</v>
      </c>
    </row>
    <row r="1094" spans="1:11" x14ac:dyDescent="0.25">
      <c r="A1094" t="str">
        <f>"00028630 / 1"</f>
        <v>00028630 / 1</v>
      </c>
      <c r="B1094" t="str">
        <f>"13° Salário Anual"</f>
        <v>13° Salário Anual</v>
      </c>
      <c r="C1094" t="str">
        <f>"Maria das Neves Oliveira Lisboa"</f>
        <v>Maria das Neves Oliveira Lisboa</v>
      </c>
      <c r="D1094" t="str">
        <f>"PROFESSOR NIVEL III"</f>
        <v>PROFESSOR NIVEL III</v>
      </c>
      <c r="E1094" t="str">
        <f t="shared" ref="E1094:E1099" si="104">"Efetivo-Inativos II-RJUSM"</f>
        <v>Efetivo-Inativos II-RJUSM</v>
      </c>
      <c r="F1094" t="str">
        <f>"R$ 10.463,32"</f>
        <v>R$ 10.463,32</v>
      </c>
      <c r="G1094" t="str">
        <f>"R$ 13.602,31"</f>
        <v>R$ 13.602,31</v>
      </c>
      <c r="H1094" t="str">
        <f t="shared" si="101"/>
        <v>R$ 0,00</v>
      </c>
      <c r="I1094" t="str">
        <f>"R$ 13.602,31"</f>
        <v>R$ 13.602,31</v>
      </c>
      <c r="J1094" t="str">
        <f>"R$ 10.433,79"</f>
        <v>R$ 10.433,79</v>
      </c>
      <c r="K1094" t="str">
        <f>"R$ 3.168,52"</f>
        <v>R$ 3.168,52</v>
      </c>
    </row>
    <row r="1095" spans="1:11" x14ac:dyDescent="0.25">
      <c r="A1095" t="str">
        <f>"00028630 / 1"</f>
        <v>00028630 / 1</v>
      </c>
      <c r="B1095" t="str">
        <f>"Folha Mensal"</f>
        <v>Folha Mensal</v>
      </c>
      <c r="C1095" t="str">
        <f>"Maria das Neves Oliveira Lisboa"</f>
        <v>Maria das Neves Oliveira Lisboa</v>
      </c>
      <c r="D1095" t="str">
        <f>"PROFESSOR NIVEL III"</f>
        <v>PROFESSOR NIVEL III</v>
      </c>
      <c r="E1095" t="str">
        <f t="shared" si="104"/>
        <v>Efetivo-Inativos II-RJUSM</v>
      </c>
      <c r="F1095" t="str">
        <f>"R$ 10.463,32"</f>
        <v>R$ 10.463,32</v>
      </c>
      <c r="G1095" t="str">
        <f>"R$ 13.602,31"</f>
        <v>R$ 13.602,31</v>
      </c>
      <c r="H1095" t="str">
        <f t="shared" si="101"/>
        <v>R$ 0,00</v>
      </c>
      <c r="I1095" t="str">
        <f>"R$ 13.602,31"</f>
        <v>R$ 13.602,31</v>
      </c>
      <c r="J1095" t="str">
        <f>"R$ 7.110,14"</f>
        <v>R$ 7.110,14</v>
      </c>
      <c r="K1095" t="str">
        <f>"R$ 6.492,17"</f>
        <v>R$ 6.492,17</v>
      </c>
    </row>
    <row r="1096" spans="1:11" x14ac:dyDescent="0.25">
      <c r="A1096" t="str">
        <f>"00066826 / 1"</f>
        <v>00066826 / 1</v>
      </c>
      <c r="B1096" t="str">
        <f>"13° Salário Anual"</f>
        <v>13° Salário Anual</v>
      </c>
      <c r="C1096" t="str">
        <f>"Maria das Neves Vilhena Rodrigues"</f>
        <v>Maria das Neves Vilhena Rodrigues</v>
      </c>
      <c r="D1096" t="str">
        <f>"PROFESSOR NIVEL II"</f>
        <v>PROFESSOR NIVEL II</v>
      </c>
      <c r="E1096" t="str">
        <f t="shared" si="104"/>
        <v>Efetivo-Inativos II-RJUSM</v>
      </c>
      <c r="F1096" t="str">
        <f>"R$ 4.780,42"</f>
        <v>R$ 4.780,42</v>
      </c>
      <c r="G1096" t="str">
        <f>"R$ 5.497,48"</f>
        <v>R$ 5.497,48</v>
      </c>
      <c r="H1096" t="str">
        <f t="shared" si="101"/>
        <v>R$ 0,00</v>
      </c>
      <c r="I1096" t="str">
        <f>"R$ 5.497,48"</f>
        <v>R$ 5.497,48</v>
      </c>
      <c r="J1096" t="str">
        <f>"R$ 3.339,04"</f>
        <v>R$ 3.339,04</v>
      </c>
      <c r="K1096" t="str">
        <f>"R$ 2.158,44"</f>
        <v>R$ 2.158,44</v>
      </c>
    </row>
    <row r="1097" spans="1:11" x14ac:dyDescent="0.25">
      <c r="A1097" t="str">
        <f>"00066826 / 1"</f>
        <v>00066826 / 1</v>
      </c>
      <c r="B1097" t="str">
        <f>"Folha Mensal"</f>
        <v>Folha Mensal</v>
      </c>
      <c r="C1097" t="str">
        <f>"Maria das Neves Vilhena Rodrigues"</f>
        <v>Maria das Neves Vilhena Rodrigues</v>
      </c>
      <c r="D1097" t="str">
        <f>"PROFESSOR NIVEL II"</f>
        <v>PROFESSOR NIVEL II</v>
      </c>
      <c r="E1097" t="str">
        <f t="shared" si="104"/>
        <v>Efetivo-Inativos II-RJUSM</v>
      </c>
      <c r="F1097" t="str">
        <f>"R$ 4.780,42"</f>
        <v>R$ 4.780,42</v>
      </c>
      <c r="G1097" t="str">
        <f>"R$ 5.497,48"</f>
        <v>R$ 5.497,48</v>
      </c>
      <c r="H1097" t="str">
        <f t="shared" si="101"/>
        <v>R$ 0,00</v>
      </c>
      <c r="I1097" t="str">
        <f>"R$ 5.497,48"</f>
        <v>R$ 5.497,48</v>
      </c>
      <c r="J1097" t="str">
        <f>"R$ 590,30"</f>
        <v>R$ 590,30</v>
      </c>
      <c r="K1097" t="str">
        <f>"R$ 4.907,18"</f>
        <v>R$ 4.907,18</v>
      </c>
    </row>
    <row r="1098" spans="1:11" x14ac:dyDescent="0.25">
      <c r="A1098" t="str">
        <f>"00028177 / 1"</f>
        <v>00028177 / 1</v>
      </c>
      <c r="B1098" t="str">
        <f>"13° Salário Anual"</f>
        <v>13° Salário Anual</v>
      </c>
      <c r="C1098" t="str">
        <f>"Maria de Belem de Souza Santos"</f>
        <v>Maria de Belem de Souza Santos</v>
      </c>
      <c r="D1098" t="str">
        <f>"INT TEMP CONTRIBUICAO"</f>
        <v>INT TEMP CONTRIBUICAO</v>
      </c>
      <c r="E1098" t="str">
        <f t="shared" si="104"/>
        <v>Efetivo-Inativos II-RJUSM</v>
      </c>
      <c r="F1098" t="str">
        <f>"R$ 1.100,00"</f>
        <v>R$ 1.100,00</v>
      </c>
      <c r="G1098" t="str">
        <f>"R$ 1.430,00"</f>
        <v>R$ 1.430,00</v>
      </c>
      <c r="H1098" t="str">
        <f t="shared" si="101"/>
        <v>R$ 0,00</v>
      </c>
      <c r="I1098" t="str">
        <f>"R$ 1.430,00"</f>
        <v>R$ 1.430,00</v>
      </c>
      <c r="J1098" t="str">
        <f>"R$ 715,00"</f>
        <v>R$ 715,00</v>
      </c>
      <c r="K1098" t="str">
        <f>"R$ 715,00"</f>
        <v>R$ 715,00</v>
      </c>
    </row>
    <row r="1099" spans="1:11" x14ac:dyDescent="0.25">
      <c r="A1099" t="str">
        <f>"00028177 / 1"</f>
        <v>00028177 / 1</v>
      </c>
      <c r="B1099" t="str">
        <f>"Folha Mensal"</f>
        <v>Folha Mensal</v>
      </c>
      <c r="C1099" t="str">
        <f>"Maria de Belem de Souza Santos"</f>
        <v>Maria de Belem de Souza Santos</v>
      </c>
      <c r="D1099" t="str">
        <f>"INT TEMP CONTRIBUICAO"</f>
        <v>INT TEMP CONTRIBUICAO</v>
      </c>
      <c r="E1099" t="str">
        <f t="shared" si="104"/>
        <v>Efetivo-Inativos II-RJUSM</v>
      </c>
      <c r="F1099" t="str">
        <f>"R$ 1.100,00"</f>
        <v>R$ 1.100,00</v>
      </c>
      <c r="G1099" t="str">
        <f>"R$ 1.430,00"</f>
        <v>R$ 1.430,00</v>
      </c>
      <c r="H1099" t="str">
        <f t="shared" si="101"/>
        <v>R$ 0,00</v>
      </c>
      <c r="I1099" t="str">
        <f>"R$ 1.430,00"</f>
        <v>R$ 1.430,00</v>
      </c>
      <c r="J1099" t="str">
        <f>"R$ 309,23"</f>
        <v>R$ 309,23</v>
      </c>
      <c r="K1099" t="str">
        <f>"R$ 1.120,77"</f>
        <v>R$ 1.120,77</v>
      </c>
    </row>
    <row r="1100" spans="1:11" x14ac:dyDescent="0.25">
      <c r="A1100" t="str">
        <f>"03640361 / 1"</f>
        <v>03640361 / 1</v>
      </c>
      <c r="B1100" t="str">
        <f>"13° Salário Anual"</f>
        <v>13° Salário Anual</v>
      </c>
      <c r="C1100" t="str">
        <f>"Maria de Belem Macias Lopes"</f>
        <v>Maria de Belem Macias Lopes</v>
      </c>
      <c r="D1100" t="str">
        <f>"PENSIONISTA"</f>
        <v>PENSIONISTA</v>
      </c>
      <c r="E1100" t="str">
        <f>"Pensionista"</f>
        <v>Pensionista</v>
      </c>
      <c r="F1100" t="str">
        <f>"R$ 3.458,45"</f>
        <v>R$ 3.458,45</v>
      </c>
      <c r="G1100" t="str">
        <f>"R$ 6.052,29"</f>
        <v>R$ 6.052,29</v>
      </c>
      <c r="H1100" t="str">
        <f t="shared" si="101"/>
        <v>R$ 0,00</v>
      </c>
      <c r="I1100" t="str">
        <f>"R$ 6.052,29"</f>
        <v>R$ 6.052,29</v>
      </c>
      <c r="J1100" t="str">
        <f>"R$ 3.821,15"</f>
        <v>R$ 3.821,15</v>
      </c>
      <c r="K1100" t="str">
        <f>"R$ 2.231,14"</f>
        <v>R$ 2.231,14</v>
      </c>
    </row>
    <row r="1101" spans="1:11" x14ac:dyDescent="0.25">
      <c r="A1101" t="str">
        <f>"03640361 / 1"</f>
        <v>03640361 / 1</v>
      </c>
      <c r="B1101" t="str">
        <f>"Folha Mensal"</f>
        <v>Folha Mensal</v>
      </c>
      <c r="C1101" t="str">
        <f>"Maria de Belem Macias Lopes"</f>
        <v>Maria de Belem Macias Lopes</v>
      </c>
      <c r="D1101" t="str">
        <f>"PENSIONISTA"</f>
        <v>PENSIONISTA</v>
      </c>
      <c r="E1101" t="str">
        <f>"Pensionista"</f>
        <v>Pensionista</v>
      </c>
      <c r="F1101" t="str">
        <f>"R$ 3.458,45"</f>
        <v>R$ 3.458,45</v>
      </c>
      <c r="G1101" t="str">
        <f>"R$ 6.052,29"</f>
        <v>R$ 6.052,29</v>
      </c>
      <c r="H1101" t="str">
        <f t="shared" si="101"/>
        <v>R$ 0,00</v>
      </c>
      <c r="I1101" t="str">
        <f>"R$ 6.052,29"</f>
        <v>R$ 6.052,29</v>
      </c>
      <c r="J1101" t="str">
        <f>"R$ 795,01"</f>
        <v>R$ 795,01</v>
      </c>
      <c r="K1101" t="str">
        <f>"R$ 5.257,28"</f>
        <v>R$ 5.257,28</v>
      </c>
    </row>
    <row r="1102" spans="1:11" x14ac:dyDescent="0.25">
      <c r="A1102" t="str">
        <f>"00035335 / 1"</f>
        <v>00035335 / 1</v>
      </c>
      <c r="B1102" t="str">
        <f>"13° Salário Anual"</f>
        <v>13° Salário Anual</v>
      </c>
      <c r="C1102" t="str">
        <f>"Maria de Belem Silva do Nascimento"</f>
        <v>Maria de Belem Silva do Nascimento</v>
      </c>
      <c r="D1102" t="str">
        <f>"PROFESSOR NIVEL I"</f>
        <v>PROFESSOR NIVEL I</v>
      </c>
      <c r="E1102" t="str">
        <f>"Efetivo-Inativo I- RJUSM"</f>
        <v>Efetivo-Inativo I- RJUSM</v>
      </c>
      <c r="F1102" t="str">
        <f>"R$ 1.593,46"</f>
        <v>R$ 1.593,46</v>
      </c>
      <c r="G1102" t="str">
        <f>"R$ 1.991,82"</f>
        <v>R$ 1.991,82</v>
      </c>
      <c r="H1102" t="str">
        <f t="shared" si="101"/>
        <v>R$ 0,00</v>
      </c>
      <c r="I1102" t="str">
        <f>"R$ 1.991,82"</f>
        <v>R$ 1.991,82</v>
      </c>
      <c r="J1102" t="str">
        <f>"R$ 995,91"</f>
        <v>R$ 995,91</v>
      </c>
      <c r="K1102" t="str">
        <f>"R$ 995,91"</f>
        <v>R$ 995,91</v>
      </c>
    </row>
    <row r="1103" spans="1:11" x14ac:dyDescent="0.25">
      <c r="A1103" t="str">
        <f>"00035335 / 1"</f>
        <v>00035335 / 1</v>
      </c>
      <c r="B1103" t="str">
        <f>"Folha Mensal"</f>
        <v>Folha Mensal</v>
      </c>
      <c r="C1103" t="str">
        <f>"Maria de Belem Silva do Nascimento"</f>
        <v>Maria de Belem Silva do Nascimento</v>
      </c>
      <c r="D1103" t="str">
        <f>"PROFESSOR NIVEL I"</f>
        <v>PROFESSOR NIVEL I</v>
      </c>
      <c r="E1103" t="str">
        <f>"Efetivo-Inativo I- RJUSM"</f>
        <v>Efetivo-Inativo I- RJUSM</v>
      </c>
      <c r="F1103" t="str">
        <f>"R$ 1.593,46"</f>
        <v>R$ 1.593,46</v>
      </c>
      <c r="G1103" t="str">
        <f>"R$ 1.991,82"</f>
        <v>R$ 1.991,82</v>
      </c>
      <c r="H1103" t="str">
        <f t="shared" si="101"/>
        <v>R$ 0,00</v>
      </c>
      <c r="I1103" t="str">
        <f>"R$ 1.991,82"</f>
        <v>R$ 1.991,82</v>
      </c>
      <c r="J1103" t="str">
        <f>"R$ 542,28"</f>
        <v>R$ 542,28</v>
      </c>
      <c r="K1103" t="str">
        <f>"R$ 1.449,54"</f>
        <v>R$ 1.449,54</v>
      </c>
    </row>
    <row r="1104" spans="1:11" x14ac:dyDescent="0.25">
      <c r="A1104" t="str">
        <f>"00000523 / 1"</f>
        <v>00000523 / 1</v>
      </c>
      <c r="B1104" t="str">
        <f>"13° Salário Anual"</f>
        <v>13° Salário Anual</v>
      </c>
      <c r="C1104" t="str">
        <f>"Maria de Fatima Araujo Silva"</f>
        <v>Maria de Fatima Araujo Silva</v>
      </c>
      <c r="D1104" t="str">
        <f>"INT TEMP CONTRIBUICAO"</f>
        <v>INT TEMP CONTRIBUICAO</v>
      </c>
      <c r="E1104" t="str">
        <f>"Efetivo-Inativo I- RJUSM"</f>
        <v>Efetivo-Inativo I- RJUSM</v>
      </c>
      <c r="F1104" t="str">
        <f>"R$ 1.100,00"</f>
        <v>R$ 1.100,00</v>
      </c>
      <c r="G1104" t="str">
        <f>"R$ 1.430,00"</f>
        <v>R$ 1.430,00</v>
      </c>
      <c r="H1104" t="str">
        <f t="shared" si="101"/>
        <v>R$ 0,00</v>
      </c>
      <c r="I1104" t="str">
        <f>"R$ 1.430,00"</f>
        <v>R$ 1.430,00</v>
      </c>
      <c r="J1104" t="str">
        <f>"R$ 715,00"</f>
        <v>R$ 715,00</v>
      </c>
      <c r="K1104" t="str">
        <f>"R$ 715,00"</f>
        <v>R$ 715,00</v>
      </c>
    </row>
    <row r="1105" spans="1:11" x14ac:dyDescent="0.25">
      <c r="A1105" t="str">
        <f>"00000523 / 1"</f>
        <v>00000523 / 1</v>
      </c>
      <c r="B1105" t="str">
        <f>"Folha Mensal"</f>
        <v>Folha Mensal</v>
      </c>
      <c r="C1105" t="str">
        <f>"Maria de Fatima Araujo Silva"</f>
        <v>Maria de Fatima Araujo Silva</v>
      </c>
      <c r="D1105" t="str">
        <f>"INT TEMP CONTRIBUICAO"</f>
        <v>INT TEMP CONTRIBUICAO</v>
      </c>
      <c r="E1105" t="str">
        <f>"Efetivo-Inativo I- RJUSM"</f>
        <v>Efetivo-Inativo I- RJUSM</v>
      </c>
      <c r="F1105" t="str">
        <f>"R$ 1.100,00"</f>
        <v>R$ 1.100,00</v>
      </c>
      <c r="G1105" t="str">
        <f>"R$ 1.430,00"</f>
        <v>R$ 1.430,00</v>
      </c>
      <c r="H1105" t="str">
        <f t="shared" si="101"/>
        <v>R$ 0,00</v>
      </c>
      <c r="I1105" t="str">
        <f>"R$ 1.430,00"</f>
        <v>R$ 1.430,00</v>
      </c>
      <c r="J1105" t="str">
        <f>"R$ 0,00"</f>
        <v>R$ 0,00</v>
      </c>
      <c r="K1105" t="str">
        <f>"R$ 1.430,00"</f>
        <v>R$ 1.430,00</v>
      </c>
    </row>
    <row r="1106" spans="1:11" x14ac:dyDescent="0.25">
      <c r="A1106" t="str">
        <f>"00052221 / 1"</f>
        <v>00052221 / 1</v>
      </c>
      <c r="B1106" t="str">
        <f>"13° Salário Anual"</f>
        <v>13° Salário Anual</v>
      </c>
      <c r="C1106" t="str">
        <f>"Maria de Fatima Campos dos Santos"</f>
        <v>Maria de Fatima Campos dos Santos</v>
      </c>
      <c r="D1106" t="str">
        <f>"PROFESSOR NIVEL III"</f>
        <v>PROFESSOR NIVEL III</v>
      </c>
      <c r="E1106" t="str">
        <f>"Efetivo-Inativos II-RJUSM"</f>
        <v>Efetivo-Inativos II-RJUSM</v>
      </c>
      <c r="F1106" t="str">
        <f>"R$ 5.417,81"</f>
        <v>R$ 5.417,81</v>
      </c>
      <c r="G1106" t="str">
        <f>"R$ 6.501,37"</f>
        <v>R$ 6.501,37</v>
      </c>
      <c r="H1106" t="str">
        <f t="shared" si="101"/>
        <v>R$ 0,00</v>
      </c>
      <c r="I1106" t="str">
        <f>"R$ 6.501,37"</f>
        <v>R$ 6.501,37</v>
      </c>
      <c r="J1106" t="str">
        <f>"R$ 3.306,72"</f>
        <v>R$ 3.306,72</v>
      </c>
      <c r="K1106" t="str">
        <f>"R$ 3.194,65"</f>
        <v>R$ 3.194,65</v>
      </c>
    </row>
    <row r="1107" spans="1:11" x14ac:dyDescent="0.25">
      <c r="A1107" t="str">
        <f>"00052221 / 1"</f>
        <v>00052221 / 1</v>
      </c>
      <c r="B1107" t="str">
        <f>"Folha Mensal"</f>
        <v>Folha Mensal</v>
      </c>
      <c r="C1107" t="str">
        <f>"Maria de Fatima Campos dos Santos"</f>
        <v>Maria de Fatima Campos dos Santos</v>
      </c>
      <c r="D1107" t="str">
        <f>"PROFESSOR NIVEL III"</f>
        <v>PROFESSOR NIVEL III</v>
      </c>
      <c r="E1107" t="str">
        <f>"Efetivo-Inativos II-RJUSM"</f>
        <v>Efetivo-Inativos II-RJUSM</v>
      </c>
      <c r="F1107" t="str">
        <f>"R$ 5.417,81"</f>
        <v>R$ 5.417,81</v>
      </c>
      <c r="G1107" t="str">
        <f>"R$ 6.501,37"</f>
        <v>R$ 6.501,37</v>
      </c>
      <c r="H1107" t="str">
        <f t="shared" si="101"/>
        <v>R$ 0,00</v>
      </c>
      <c r="I1107" t="str">
        <f>"R$ 6.501,37"</f>
        <v>R$ 6.501,37</v>
      </c>
      <c r="J1107" t="str">
        <f>"R$ 1.992,10"</f>
        <v>R$ 1.992,10</v>
      </c>
      <c r="K1107" t="str">
        <f>"R$ 4.509,27"</f>
        <v>R$ 4.509,27</v>
      </c>
    </row>
    <row r="1108" spans="1:11" x14ac:dyDescent="0.25">
      <c r="A1108" t="str">
        <f>"00027189 / 1"</f>
        <v>00027189 / 1</v>
      </c>
      <c r="B1108" t="str">
        <f>"13° Salário Anual"</f>
        <v>13° Salário Anual</v>
      </c>
      <c r="C1108" t="str">
        <f>"Maria de Fatima Castro da Silva"</f>
        <v>Maria de Fatima Castro da Silva</v>
      </c>
      <c r="D1108" t="str">
        <f>"PROFESSOR"</f>
        <v>PROFESSOR</v>
      </c>
      <c r="E1108" t="str">
        <f t="shared" ref="E1108:E1115" si="105">"Efetivo-Inativo I- RJUSM"</f>
        <v>Efetivo-Inativo I- RJUSM</v>
      </c>
      <c r="F1108" t="str">
        <f>"R$ 1.593,46"</f>
        <v>R$ 1.593,46</v>
      </c>
      <c r="G1108" t="str">
        <f>"R$ 1.991,82"</f>
        <v>R$ 1.991,82</v>
      </c>
      <c r="H1108" t="str">
        <f t="shared" si="101"/>
        <v>R$ 0,00</v>
      </c>
      <c r="I1108" t="str">
        <f>"R$ 1.991,82"</f>
        <v>R$ 1.991,82</v>
      </c>
      <c r="J1108" t="str">
        <f>"R$ 995,91"</f>
        <v>R$ 995,91</v>
      </c>
      <c r="K1108" t="str">
        <f>"R$ 995,91"</f>
        <v>R$ 995,91</v>
      </c>
    </row>
    <row r="1109" spans="1:11" x14ac:dyDescent="0.25">
      <c r="A1109" t="str">
        <f>"00027189 / 1"</f>
        <v>00027189 / 1</v>
      </c>
      <c r="B1109" t="str">
        <f>"Folha Mensal"</f>
        <v>Folha Mensal</v>
      </c>
      <c r="C1109" t="str">
        <f>"Maria de Fatima Castro da Silva"</f>
        <v>Maria de Fatima Castro da Silva</v>
      </c>
      <c r="D1109" t="str">
        <f>"PROFESSOR"</f>
        <v>PROFESSOR</v>
      </c>
      <c r="E1109" t="str">
        <f t="shared" si="105"/>
        <v>Efetivo-Inativo I- RJUSM</v>
      </c>
      <c r="F1109" t="str">
        <f>"R$ 1.593,46"</f>
        <v>R$ 1.593,46</v>
      </c>
      <c r="G1109" t="str">
        <f>"R$ 1.991,82"</f>
        <v>R$ 1.991,82</v>
      </c>
      <c r="H1109" t="str">
        <f t="shared" si="101"/>
        <v>R$ 0,00</v>
      </c>
      <c r="I1109" t="str">
        <f>"R$ 1.991,82"</f>
        <v>R$ 1.991,82</v>
      </c>
      <c r="J1109" t="str">
        <f>"R$ 595,46"</f>
        <v>R$ 595,46</v>
      </c>
      <c r="K1109" t="str">
        <f>"R$ 1.396,36"</f>
        <v>R$ 1.396,36</v>
      </c>
    </row>
    <row r="1110" spans="1:11" x14ac:dyDescent="0.25">
      <c r="A1110" t="str">
        <f>"00022225 / 2"</f>
        <v>00022225 / 2</v>
      </c>
      <c r="B1110" t="str">
        <f>"13° Salário Anual"</f>
        <v>13° Salário Anual</v>
      </c>
      <c r="C1110" t="str">
        <f>"Maria de Fatima Claudio Barbosa"</f>
        <v>Maria de Fatima Claudio Barbosa</v>
      </c>
      <c r="D1110" t="str">
        <f>"PROP TEMP CONTRIBUICAO"</f>
        <v>PROP TEMP CONTRIBUICAO</v>
      </c>
      <c r="E1110" t="str">
        <f t="shared" si="105"/>
        <v>Efetivo-Inativo I- RJUSM</v>
      </c>
      <c r="F1110" t="str">
        <f>"R$ 1.100,00"</f>
        <v>R$ 1.100,00</v>
      </c>
      <c r="G1110" t="str">
        <f>"R$ 1.100,00"</f>
        <v>R$ 1.100,00</v>
      </c>
      <c r="H1110" t="str">
        <f t="shared" si="101"/>
        <v>R$ 0,00</v>
      </c>
      <c r="I1110" t="str">
        <f>"R$ 1.100,00"</f>
        <v>R$ 1.100,00</v>
      </c>
      <c r="J1110" t="str">
        <f>"R$ 550,00"</f>
        <v>R$ 550,00</v>
      </c>
      <c r="K1110" t="str">
        <f>"R$ 550,00"</f>
        <v>R$ 550,00</v>
      </c>
    </row>
    <row r="1111" spans="1:11" x14ac:dyDescent="0.25">
      <c r="A1111" t="str">
        <f>"00022225 / 2"</f>
        <v>00022225 / 2</v>
      </c>
      <c r="B1111" t="str">
        <f>"Folha Mensal"</f>
        <v>Folha Mensal</v>
      </c>
      <c r="C1111" t="str">
        <f>"Maria de Fatima Claudio Barbosa"</f>
        <v>Maria de Fatima Claudio Barbosa</v>
      </c>
      <c r="D1111" t="str">
        <f>"PROP TEMP CONTRIBUICAO"</f>
        <v>PROP TEMP CONTRIBUICAO</v>
      </c>
      <c r="E1111" t="str">
        <f t="shared" si="105"/>
        <v>Efetivo-Inativo I- RJUSM</v>
      </c>
      <c r="F1111" t="str">
        <f>"R$ 1.100,00"</f>
        <v>R$ 1.100,00</v>
      </c>
      <c r="G1111" t="str">
        <f>"R$ 1.100,00"</f>
        <v>R$ 1.100,00</v>
      </c>
      <c r="H1111" t="str">
        <f t="shared" si="101"/>
        <v>R$ 0,00</v>
      </c>
      <c r="I1111" t="str">
        <f>"R$ 1.100,00"</f>
        <v>R$ 1.100,00</v>
      </c>
      <c r="J1111" t="str">
        <f>"R$ 0,00"</f>
        <v>R$ 0,00</v>
      </c>
      <c r="K1111" t="str">
        <f>"R$ 1.100,00"</f>
        <v>R$ 1.100,00</v>
      </c>
    </row>
    <row r="1112" spans="1:11" x14ac:dyDescent="0.25">
      <c r="A1112" t="str">
        <f>"00032239 / 1"</f>
        <v>00032239 / 1</v>
      </c>
      <c r="B1112" t="str">
        <f>"13° Salário Anual"</f>
        <v>13° Salário Anual</v>
      </c>
      <c r="C1112" t="str">
        <f>"Maria de Fatima Coelho de Sousa"</f>
        <v>Maria de Fatima Coelho de Sousa</v>
      </c>
      <c r="D1112" t="str">
        <f>"PROFESSOR"</f>
        <v>PROFESSOR</v>
      </c>
      <c r="E1112" t="str">
        <f t="shared" si="105"/>
        <v>Efetivo-Inativo I- RJUSM</v>
      </c>
      <c r="F1112" t="str">
        <f>"R$ 1.593,46"</f>
        <v>R$ 1.593,46</v>
      </c>
      <c r="G1112" t="str">
        <f>"R$ 1.991,82"</f>
        <v>R$ 1.991,82</v>
      </c>
      <c r="H1112" t="str">
        <f t="shared" si="101"/>
        <v>R$ 0,00</v>
      </c>
      <c r="I1112" t="str">
        <f>"R$ 1.991,82"</f>
        <v>R$ 1.991,82</v>
      </c>
      <c r="J1112" t="str">
        <f>"R$ 995,91"</f>
        <v>R$ 995,91</v>
      </c>
      <c r="K1112" t="str">
        <f>"R$ 995,91"</f>
        <v>R$ 995,91</v>
      </c>
    </row>
    <row r="1113" spans="1:11" x14ac:dyDescent="0.25">
      <c r="A1113" t="str">
        <f>"00032239 / 1"</f>
        <v>00032239 / 1</v>
      </c>
      <c r="B1113" t="str">
        <f>"Folha Mensal"</f>
        <v>Folha Mensal</v>
      </c>
      <c r="C1113" t="str">
        <f>"Maria de Fatima Coelho de Sousa"</f>
        <v>Maria de Fatima Coelho de Sousa</v>
      </c>
      <c r="D1113" t="str">
        <f>"PROFESSOR"</f>
        <v>PROFESSOR</v>
      </c>
      <c r="E1113" t="str">
        <f t="shared" si="105"/>
        <v>Efetivo-Inativo I- RJUSM</v>
      </c>
      <c r="F1113" t="str">
        <f>"R$ 1.593,46"</f>
        <v>R$ 1.593,46</v>
      </c>
      <c r="G1113" t="str">
        <f>"R$ 1.991,82"</f>
        <v>R$ 1.991,82</v>
      </c>
      <c r="H1113" t="str">
        <f t="shared" si="101"/>
        <v>R$ 0,00</v>
      </c>
      <c r="I1113" t="str">
        <f>"R$ 1.991,82"</f>
        <v>R$ 1.991,82</v>
      </c>
      <c r="J1113" t="str">
        <f>"R$ 695,74"</f>
        <v>R$ 695,74</v>
      </c>
      <c r="K1113" t="str">
        <f>"R$ 1.296,08"</f>
        <v>R$ 1.296,08</v>
      </c>
    </row>
    <row r="1114" spans="1:11" x14ac:dyDescent="0.25">
      <c r="A1114" t="str">
        <f>"00023965 / 1"</f>
        <v>00023965 / 1</v>
      </c>
      <c r="B1114" t="str">
        <f>"13° Salário Anual"</f>
        <v>13° Salário Anual</v>
      </c>
      <c r="C1114" t="str">
        <f>"Maria de Fatima Correa Lobato"</f>
        <v>Maria de Fatima Correa Lobato</v>
      </c>
      <c r="D1114" t="str">
        <f>"PROFESSOR"</f>
        <v>PROFESSOR</v>
      </c>
      <c r="E1114" t="str">
        <f t="shared" si="105"/>
        <v>Efetivo-Inativo I- RJUSM</v>
      </c>
      <c r="F1114" t="str">
        <f>"R$ 1.593,46"</f>
        <v>R$ 1.593,46</v>
      </c>
      <c r="G1114" t="str">
        <f>"R$ 1.912,15"</f>
        <v>R$ 1.912,15</v>
      </c>
      <c r="H1114" t="str">
        <f t="shared" si="101"/>
        <v>R$ 0,00</v>
      </c>
      <c r="I1114" t="str">
        <f>"R$ 1.912,15"</f>
        <v>R$ 1.912,15</v>
      </c>
      <c r="J1114" t="str">
        <f>"R$ 956,07"</f>
        <v>R$ 956,07</v>
      </c>
      <c r="K1114" t="str">
        <f>"R$ 956,08"</f>
        <v>R$ 956,08</v>
      </c>
    </row>
    <row r="1115" spans="1:11" x14ac:dyDescent="0.25">
      <c r="A1115" t="str">
        <f>"00023965 / 1"</f>
        <v>00023965 / 1</v>
      </c>
      <c r="B1115" t="str">
        <f>"Folha Mensal"</f>
        <v>Folha Mensal</v>
      </c>
      <c r="C1115" t="str">
        <f>"Maria de Fatima Correa Lobato"</f>
        <v>Maria de Fatima Correa Lobato</v>
      </c>
      <c r="D1115" t="str">
        <f>"PROFESSOR"</f>
        <v>PROFESSOR</v>
      </c>
      <c r="E1115" t="str">
        <f t="shared" si="105"/>
        <v>Efetivo-Inativo I- RJUSM</v>
      </c>
      <c r="F1115" t="str">
        <f>"R$ 1.593,46"</f>
        <v>R$ 1.593,46</v>
      </c>
      <c r="G1115" t="str">
        <f>"R$ 1.912,15"</f>
        <v>R$ 1.912,15</v>
      </c>
      <c r="H1115" t="str">
        <f t="shared" si="101"/>
        <v>R$ 0,00</v>
      </c>
      <c r="I1115" t="str">
        <f>"R$ 1.912,15"</f>
        <v>R$ 1.912,15</v>
      </c>
      <c r="J1115" t="str">
        <f>"R$ 1.034,55"</f>
        <v>R$ 1.034,55</v>
      </c>
      <c r="K1115" t="str">
        <f>"R$ 877,60"</f>
        <v>R$ 877,60</v>
      </c>
    </row>
    <row r="1116" spans="1:11" x14ac:dyDescent="0.25">
      <c r="A1116" t="str">
        <f>"00005169 / 1"</f>
        <v>00005169 / 1</v>
      </c>
      <c r="B1116" t="str">
        <f>"13° Salário Anual"</f>
        <v>13° Salário Anual</v>
      </c>
      <c r="C1116" t="str">
        <f>"Maria de Fatima Damasceno Silva"</f>
        <v>Maria de Fatima Damasceno Silva</v>
      </c>
      <c r="D1116" t="str">
        <f>"INT TEMP CONTRIBUICAO"</f>
        <v>INT TEMP CONTRIBUICAO</v>
      </c>
      <c r="E1116" t="str">
        <f>"Efetivo-Inativos II-RJUSM"</f>
        <v>Efetivo-Inativos II-RJUSM</v>
      </c>
      <c r="F1116" t="str">
        <f t="shared" ref="F1116:F1121" si="106">"R$ 1.100,00"</f>
        <v>R$ 1.100,00</v>
      </c>
      <c r="G1116" t="str">
        <f>"R$ 1.430,00"</f>
        <v>R$ 1.430,00</v>
      </c>
      <c r="H1116" t="str">
        <f t="shared" si="101"/>
        <v>R$ 0,00</v>
      </c>
      <c r="I1116" t="str">
        <f>"R$ 1.430,00"</f>
        <v>R$ 1.430,00</v>
      </c>
      <c r="J1116" t="str">
        <f>"R$ 715,00"</f>
        <v>R$ 715,00</v>
      </c>
      <c r="K1116" t="str">
        <f>"R$ 715,00"</f>
        <v>R$ 715,00</v>
      </c>
    </row>
    <row r="1117" spans="1:11" x14ac:dyDescent="0.25">
      <c r="A1117" t="str">
        <f>"00005169 / 1"</f>
        <v>00005169 / 1</v>
      </c>
      <c r="B1117" t="str">
        <f>"Folha Mensal"</f>
        <v>Folha Mensal</v>
      </c>
      <c r="C1117" t="str">
        <f>"Maria de Fatima Damasceno Silva"</f>
        <v>Maria de Fatima Damasceno Silva</v>
      </c>
      <c r="D1117" t="str">
        <f>"INT TEMP CONTRIBUICAO"</f>
        <v>INT TEMP CONTRIBUICAO</v>
      </c>
      <c r="E1117" t="str">
        <f>"Efetivo-Inativos II-RJUSM"</f>
        <v>Efetivo-Inativos II-RJUSM</v>
      </c>
      <c r="F1117" t="str">
        <f t="shared" si="106"/>
        <v>R$ 1.100,00</v>
      </c>
      <c r="G1117" t="str">
        <f>"R$ 1.430,00"</f>
        <v>R$ 1.430,00</v>
      </c>
      <c r="H1117" t="str">
        <f t="shared" si="101"/>
        <v>R$ 0,00</v>
      </c>
      <c r="I1117" t="str">
        <f>"R$ 1.430,00"</f>
        <v>R$ 1.430,00</v>
      </c>
      <c r="J1117" t="str">
        <f>"R$ 315,58"</f>
        <v>R$ 315,58</v>
      </c>
      <c r="K1117" t="str">
        <f>"R$ 1.114,42"</f>
        <v>R$ 1.114,42</v>
      </c>
    </row>
    <row r="1118" spans="1:11" x14ac:dyDescent="0.25">
      <c r="A1118" t="str">
        <f>"00009229 / 1"</f>
        <v>00009229 / 1</v>
      </c>
      <c r="B1118" t="str">
        <f>"13° Salário Anual"</f>
        <v>13° Salário Anual</v>
      </c>
      <c r="C1118" t="str">
        <f>"Maria de Fatima do Rosario"</f>
        <v>Maria de Fatima do Rosario</v>
      </c>
      <c r="D1118" t="str">
        <f>"PROP IDADE"</f>
        <v>PROP IDADE</v>
      </c>
      <c r="E1118" t="str">
        <f t="shared" ref="E1118:E1123" si="107">"Efetivo-Inativo I- RJUSM"</f>
        <v>Efetivo-Inativo I- RJUSM</v>
      </c>
      <c r="F1118" t="str">
        <f t="shared" si="106"/>
        <v>R$ 1.100,00</v>
      </c>
      <c r="G1118" t="str">
        <f>"R$ 1.100,00"</f>
        <v>R$ 1.100,00</v>
      </c>
      <c r="H1118" t="str">
        <f t="shared" si="101"/>
        <v>R$ 0,00</v>
      </c>
      <c r="I1118" t="str">
        <f>"R$ 1.100,00"</f>
        <v>R$ 1.100,00</v>
      </c>
      <c r="J1118" t="str">
        <f>"R$ 550,00"</f>
        <v>R$ 550,00</v>
      </c>
      <c r="K1118" t="str">
        <f>"R$ 550,00"</f>
        <v>R$ 550,00</v>
      </c>
    </row>
    <row r="1119" spans="1:11" x14ac:dyDescent="0.25">
      <c r="A1119" t="str">
        <f>"00009229 / 1"</f>
        <v>00009229 / 1</v>
      </c>
      <c r="B1119" t="str">
        <f>"Folha Mensal"</f>
        <v>Folha Mensal</v>
      </c>
      <c r="C1119" t="str">
        <f>"Maria de Fatima do Rosario"</f>
        <v>Maria de Fatima do Rosario</v>
      </c>
      <c r="D1119" t="str">
        <f>"PROP IDADE"</f>
        <v>PROP IDADE</v>
      </c>
      <c r="E1119" t="str">
        <f t="shared" si="107"/>
        <v>Efetivo-Inativo I- RJUSM</v>
      </c>
      <c r="F1119" t="str">
        <f t="shared" si="106"/>
        <v>R$ 1.100,00</v>
      </c>
      <c r="G1119" t="str">
        <f>"R$ 1.100,00"</f>
        <v>R$ 1.100,00</v>
      </c>
      <c r="H1119" t="str">
        <f t="shared" si="101"/>
        <v>R$ 0,00</v>
      </c>
      <c r="I1119" t="str">
        <f>"R$ 1.100,00"</f>
        <v>R$ 1.100,00</v>
      </c>
      <c r="J1119" t="str">
        <f>"R$ 0,00"</f>
        <v>R$ 0,00</v>
      </c>
      <c r="K1119" t="str">
        <f>"R$ 1.100,00"</f>
        <v>R$ 1.100,00</v>
      </c>
    </row>
    <row r="1120" spans="1:11" x14ac:dyDescent="0.25">
      <c r="A1120" t="str">
        <f>"00003077 / 2"</f>
        <v>00003077 / 2</v>
      </c>
      <c r="B1120" t="str">
        <f>"13° Salário Anual"</f>
        <v>13° Salário Anual</v>
      </c>
      <c r="C1120" t="str">
        <f>"Maria de Fatima Ferreira"</f>
        <v>Maria de Fatima Ferreira</v>
      </c>
      <c r="D1120" t="str">
        <f>"PROP IDADE"</f>
        <v>PROP IDADE</v>
      </c>
      <c r="E1120" t="str">
        <f t="shared" si="107"/>
        <v>Efetivo-Inativo I- RJUSM</v>
      </c>
      <c r="F1120" t="str">
        <f t="shared" si="106"/>
        <v>R$ 1.100,00</v>
      </c>
      <c r="G1120" t="str">
        <f>"R$ 1.100,00"</f>
        <v>R$ 1.100,00</v>
      </c>
      <c r="H1120" t="str">
        <f t="shared" si="101"/>
        <v>R$ 0,00</v>
      </c>
      <c r="I1120" t="str">
        <f>"R$ 1.100,00"</f>
        <v>R$ 1.100,00</v>
      </c>
      <c r="J1120" t="str">
        <f>"R$ 550,00"</f>
        <v>R$ 550,00</v>
      </c>
      <c r="K1120" t="str">
        <f>"R$ 550,00"</f>
        <v>R$ 550,00</v>
      </c>
    </row>
    <row r="1121" spans="1:11" x14ac:dyDescent="0.25">
      <c r="A1121" t="str">
        <f>"00003077 / 2"</f>
        <v>00003077 / 2</v>
      </c>
      <c r="B1121" t="str">
        <f>"Folha Mensal"</f>
        <v>Folha Mensal</v>
      </c>
      <c r="C1121" t="str">
        <f>"Maria de Fatima Ferreira"</f>
        <v>Maria de Fatima Ferreira</v>
      </c>
      <c r="D1121" t="str">
        <f>"PROP IDADE"</f>
        <v>PROP IDADE</v>
      </c>
      <c r="E1121" t="str">
        <f t="shared" si="107"/>
        <v>Efetivo-Inativo I- RJUSM</v>
      </c>
      <c r="F1121" t="str">
        <f t="shared" si="106"/>
        <v>R$ 1.100,00</v>
      </c>
      <c r="G1121" t="str">
        <f>"R$ 1.100,00"</f>
        <v>R$ 1.100,00</v>
      </c>
      <c r="H1121" t="str">
        <f t="shared" si="101"/>
        <v>R$ 0,00</v>
      </c>
      <c r="I1121" t="str">
        <f>"R$ 1.100,00"</f>
        <v>R$ 1.100,00</v>
      </c>
      <c r="J1121" t="str">
        <f>"R$ 0,00"</f>
        <v>R$ 0,00</v>
      </c>
      <c r="K1121" t="str">
        <f>"R$ 1.100,00"</f>
        <v>R$ 1.100,00</v>
      </c>
    </row>
    <row r="1122" spans="1:11" x14ac:dyDescent="0.25">
      <c r="A1122" t="str">
        <f>"00029564 / 1"</f>
        <v>00029564 / 1</v>
      </c>
      <c r="B1122" t="str">
        <f>"13° Salário Anual"</f>
        <v>13° Salário Anual</v>
      </c>
      <c r="C1122" t="str">
        <f>"Maria de Fatima Ferreira de Oliveira"</f>
        <v>Maria de Fatima Ferreira de Oliveira</v>
      </c>
      <c r="D1122" t="str">
        <f>"PROFESSOR"</f>
        <v>PROFESSOR</v>
      </c>
      <c r="E1122" t="str">
        <f t="shared" si="107"/>
        <v>Efetivo-Inativo I- RJUSM</v>
      </c>
      <c r="F1122" t="str">
        <f>"R$ 1.593,46"</f>
        <v>R$ 1.593,46</v>
      </c>
      <c r="G1122" t="str">
        <f>"R$ 1.991,82"</f>
        <v>R$ 1.991,82</v>
      </c>
      <c r="H1122" t="str">
        <f t="shared" si="101"/>
        <v>R$ 0,00</v>
      </c>
      <c r="I1122" t="str">
        <f>"R$ 1.991,82"</f>
        <v>R$ 1.991,82</v>
      </c>
      <c r="J1122" t="str">
        <f>"R$ 1.002,49"</f>
        <v>R$ 1.002,49</v>
      </c>
      <c r="K1122" t="str">
        <f>"R$ 989,33"</f>
        <v>R$ 989,33</v>
      </c>
    </row>
    <row r="1123" spans="1:11" x14ac:dyDescent="0.25">
      <c r="A1123" t="str">
        <f>"00029564 / 1"</f>
        <v>00029564 / 1</v>
      </c>
      <c r="B1123" t="str">
        <f>"Folha Mensal"</f>
        <v>Folha Mensal</v>
      </c>
      <c r="C1123" t="str">
        <f>"Maria de Fatima Ferreira de Oliveira"</f>
        <v>Maria de Fatima Ferreira de Oliveira</v>
      </c>
      <c r="D1123" t="str">
        <f>"PROFESSOR"</f>
        <v>PROFESSOR</v>
      </c>
      <c r="E1123" t="str">
        <f t="shared" si="107"/>
        <v>Efetivo-Inativo I- RJUSM</v>
      </c>
      <c r="F1123" t="str">
        <f>"R$ 1.593,46"</f>
        <v>R$ 1.593,46</v>
      </c>
      <c r="G1123" t="str">
        <f>"R$ 1.991,82"</f>
        <v>R$ 1.991,82</v>
      </c>
      <c r="H1123" t="str">
        <f t="shared" si="101"/>
        <v>R$ 0,00</v>
      </c>
      <c r="I1123" t="str">
        <f>"R$ 1.991,82"</f>
        <v>R$ 1.991,82</v>
      </c>
      <c r="J1123" t="str">
        <f>"R$ 402,89"</f>
        <v>R$ 402,89</v>
      </c>
      <c r="K1123" t="str">
        <f>"R$ 1.588,93"</f>
        <v>R$ 1.588,93</v>
      </c>
    </row>
    <row r="1124" spans="1:11" x14ac:dyDescent="0.25">
      <c r="A1124" t="str">
        <f>"00004855 / 2"</f>
        <v>00004855 / 2</v>
      </c>
      <c r="B1124" t="str">
        <f>"13° Salário Anual"</f>
        <v>13° Salário Anual</v>
      </c>
      <c r="C1124" t="str">
        <f>"Maria de Fatima Ferreira de Souza"</f>
        <v>Maria de Fatima Ferreira de Souza</v>
      </c>
      <c r="D1124" t="str">
        <f>"PEDAGOGO NIVEL IV"</f>
        <v>PEDAGOGO NIVEL IV</v>
      </c>
      <c r="E1124" t="str">
        <f>"Efetivo-Inativos II-RJUSM"</f>
        <v>Efetivo-Inativos II-RJUSM</v>
      </c>
      <c r="F1124" t="str">
        <f>"R$ 6.692,58"</f>
        <v>R$ 6.692,58</v>
      </c>
      <c r="G1124" t="str">
        <f>"R$ 8.700,35"</f>
        <v>R$ 8.700,35</v>
      </c>
      <c r="H1124" t="str">
        <f t="shared" si="101"/>
        <v>R$ 0,00</v>
      </c>
      <c r="I1124" t="str">
        <f>"R$ 8.700,35"</f>
        <v>R$ 8.700,35</v>
      </c>
      <c r="J1124" t="str">
        <f>"R$ 5.561,50"</f>
        <v>R$ 5.561,50</v>
      </c>
      <c r="K1124" t="str">
        <f>"R$ 3.138,85"</f>
        <v>R$ 3.138,85</v>
      </c>
    </row>
    <row r="1125" spans="1:11" x14ac:dyDescent="0.25">
      <c r="A1125" t="str">
        <f>"00004855 / 2"</f>
        <v>00004855 / 2</v>
      </c>
      <c r="B1125" t="str">
        <f>"Folha Mensal"</f>
        <v>Folha Mensal</v>
      </c>
      <c r="C1125" t="str">
        <f>"Maria de Fatima Ferreira de Souza"</f>
        <v>Maria de Fatima Ferreira de Souza</v>
      </c>
      <c r="D1125" t="str">
        <f>"PEDAGOGO NIVEL IV"</f>
        <v>PEDAGOGO NIVEL IV</v>
      </c>
      <c r="E1125" t="str">
        <f>"Efetivo-Inativos II-RJUSM"</f>
        <v>Efetivo-Inativos II-RJUSM</v>
      </c>
      <c r="F1125" t="str">
        <f>"R$ 6.692,58"</f>
        <v>R$ 6.692,58</v>
      </c>
      <c r="G1125" t="str">
        <f>"R$ 8.700,35"</f>
        <v>R$ 8.700,35</v>
      </c>
      <c r="H1125" t="str">
        <f t="shared" si="101"/>
        <v>R$ 0,00</v>
      </c>
      <c r="I1125" t="str">
        <f>"R$ 8.700,35"</f>
        <v>R$ 8.700,35</v>
      </c>
      <c r="J1125" t="str">
        <f>"R$ 3.831,41"</f>
        <v>R$ 3.831,41</v>
      </c>
      <c r="K1125" t="str">
        <f>"R$ 4.868,94"</f>
        <v>R$ 4.868,94</v>
      </c>
    </row>
    <row r="1126" spans="1:11" x14ac:dyDescent="0.25">
      <c r="A1126" t="str">
        <f>"00169218 / 1"</f>
        <v>00169218 / 1</v>
      </c>
      <c r="B1126" t="str">
        <f>"13° Salário Anual"</f>
        <v>13° Salário Anual</v>
      </c>
      <c r="C1126" t="str">
        <f>"Maria de Fatima Monteiro Possino"</f>
        <v>Maria de Fatima Monteiro Possino</v>
      </c>
      <c r="D1126" t="str">
        <f>"PROP COMPULSORIA"</f>
        <v>PROP COMPULSORIA</v>
      </c>
      <c r="E1126" t="str">
        <f>"Efetivo-Inativos II-RJUSM"</f>
        <v>Efetivo-Inativos II-RJUSM</v>
      </c>
      <c r="F1126" t="str">
        <f>"R$ 1.100,00"</f>
        <v>R$ 1.100,00</v>
      </c>
      <c r="G1126" t="str">
        <f>"R$ 1.100,00"</f>
        <v>R$ 1.100,00</v>
      </c>
      <c r="H1126" t="str">
        <f t="shared" si="101"/>
        <v>R$ 0,00</v>
      </c>
      <c r="I1126" t="str">
        <f>"R$ 1.100,00"</f>
        <v>R$ 1.100,00</v>
      </c>
      <c r="J1126" t="str">
        <f>"R$ 550,00"</f>
        <v>R$ 550,00</v>
      </c>
      <c r="K1126" t="str">
        <f>"R$ 550,00"</f>
        <v>R$ 550,00</v>
      </c>
    </row>
    <row r="1127" spans="1:11" x14ac:dyDescent="0.25">
      <c r="A1127" t="str">
        <f>"00169218 / 1"</f>
        <v>00169218 / 1</v>
      </c>
      <c r="B1127" t="str">
        <f>"Folha Mensal"</f>
        <v>Folha Mensal</v>
      </c>
      <c r="C1127" t="str">
        <f>"Maria de Fatima Monteiro Possino"</f>
        <v>Maria de Fatima Monteiro Possino</v>
      </c>
      <c r="D1127" t="str">
        <f>"PROP COMPULSORIA"</f>
        <v>PROP COMPULSORIA</v>
      </c>
      <c r="E1127" t="str">
        <f>"Efetivo-Inativos II-RJUSM"</f>
        <v>Efetivo-Inativos II-RJUSM</v>
      </c>
      <c r="F1127" t="str">
        <f>"R$ 1.100,00"</f>
        <v>R$ 1.100,00</v>
      </c>
      <c r="G1127" t="str">
        <f>"R$ 1.100,00"</f>
        <v>R$ 1.100,00</v>
      </c>
      <c r="H1127" t="str">
        <f t="shared" si="101"/>
        <v>R$ 0,00</v>
      </c>
      <c r="I1127" t="str">
        <f>"R$ 1.100,00"</f>
        <v>R$ 1.100,00</v>
      </c>
      <c r="J1127" t="str">
        <f>"R$ 313,42"</f>
        <v>R$ 313,42</v>
      </c>
      <c r="K1127" t="str">
        <f>"R$ 786,58"</f>
        <v>R$ 786,58</v>
      </c>
    </row>
    <row r="1128" spans="1:11" x14ac:dyDescent="0.25">
      <c r="A1128" t="str">
        <f>"00003980 / 1"</f>
        <v>00003980 / 1</v>
      </c>
      <c r="B1128" t="str">
        <f>"13° Salário Anual"</f>
        <v>13° Salário Anual</v>
      </c>
      <c r="C1128" t="str">
        <f>"Maria de Fatima Oliveira da Silva"</f>
        <v>Maria de Fatima Oliveira da Silva</v>
      </c>
      <c r="D1128" t="str">
        <f>"PROFESSOR NIVEL II"</f>
        <v>PROFESSOR NIVEL II</v>
      </c>
      <c r="E1128" t="str">
        <f>"Efetivo-Inativo I- RJUSM"</f>
        <v>Efetivo-Inativo I- RJUSM</v>
      </c>
      <c r="F1128" t="str">
        <f>"R$ 2.071,52"</f>
        <v>R$ 2.071,52</v>
      </c>
      <c r="G1128" t="str">
        <f>"R$ 2.589,40"</f>
        <v>R$ 2.589,40</v>
      </c>
      <c r="H1128" t="str">
        <f t="shared" si="101"/>
        <v>R$ 0,00</v>
      </c>
      <c r="I1128" t="str">
        <f>"R$ 2.589,40"</f>
        <v>R$ 2.589,40</v>
      </c>
      <c r="J1128" t="str">
        <f>"R$ 1.294,70"</f>
        <v>R$ 1.294,70</v>
      </c>
      <c r="K1128" t="str">
        <f>"R$ 1.294,70"</f>
        <v>R$ 1.294,70</v>
      </c>
    </row>
    <row r="1129" spans="1:11" x14ac:dyDescent="0.25">
      <c r="A1129" t="str">
        <f>"00003980 / 1"</f>
        <v>00003980 / 1</v>
      </c>
      <c r="B1129" t="str">
        <f>"Folha Mensal"</f>
        <v>Folha Mensal</v>
      </c>
      <c r="C1129" t="str">
        <f>"Maria de Fatima Oliveira da Silva"</f>
        <v>Maria de Fatima Oliveira da Silva</v>
      </c>
      <c r="D1129" t="str">
        <f>"PROFESSOR NIVEL II"</f>
        <v>PROFESSOR NIVEL II</v>
      </c>
      <c r="E1129" t="str">
        <f>"Efetivo-Inativo I- RJUSM"</f>
        <v>Efetivo-Inativo I- RJUSM</v>
      </c>
      <c r="F1129" t="str">
        <f>"R$ 2.071,52"</f>
        <v>R$ 2.071,52</v>
      </c>
      <c r="G1129" t="str">
        <f>"R$ 2.589,40"</f>
        <v>R$ 2.589,40</v>
      </c>
      <c r="H1129" t="str">
        <f t="shared" si="101"/>
        <v>R$ 0,00</v>
      </c>
      <c r="I1129" t="str">
        <f>"R$ 2.589,40"</f>
        <v>R$ 2.589,40</v>
      </c>
      <c r="J1129" t="str">
        <f>"R$ 900,37"</f>
        <v>R$ 900,37</v>
      </c>
      <c r="K1129" t="str">
        <f>"R$ 1.689,03"</f>
        <v>R$ 1.689,03</v>
      </c>
    </row>
    <row r="1130" spans="1:11" x14ac:dyDescent="0.25">
      <c r="A1130" t="str">
        <f>"00004081 / 2"</f>
        <v>00004081 / 2</v>
      </c>
      <c r="B1130" t="str">
        <f>"13° Salário Anual"</f>
        <v>13° Salário Anual</v>
      </c>
      <c r="C1130" t="str">
        <f>"Maria de Fatima Pinheiro da Costa"</f>
        <v>Maria de Fatima Pinheiro da Costa</v>
      </c>
      <c r="D1130" t="str">
        <f>"INT TEMP CONTRIBUICAO"</f>
        <v>INT TEMP CONTRIBUICAO</v>
      </c>
      <c r="E1130" t="str">
        <f>"Efetivo-Inativos II-RJUSM"</f>
        <v>Efetivo-Inativos II-RJUSM</v>
      </c>
      <c r="F1130" t="str">
        <f t="shared" ref="F1130:F1135" si="108">"R$ 1.100,00"</f>
        <v>R$ 1.100,00</v>
      </c>
      <c r="G1130" t="str">
        <f>"R$ 1.430,00"</f>
        <v>R$ 1.430,00</v>
      </c>
      <c r="H1130" t="str">
        <f t="shared" si="101"/>
        <v>R$ 0,00</v>
      </c>
      <c r="I1130" t="str">
        <f>"R$ 1.430,00"</f>
        <v>R$ 1.430,00</v>
      </c>
      <c r="J1130" t="str">
        <f>"R$ 715,00"</f>
        <v>R$ 715,00</v>
      </c>
      <c r="K1130" t="str">
        <f>"R$ 715,00"</f>
        <v>R$ 715,00</v>
      </c>
    </row>
    <row r="1131" spans="1:11" x14ac:dyDescent="0.25">
      <c r="A1131" t="str">
        <f>"00004081 / 2"</f>
        <v>00004081 / 2</v>
      </c>
      <c r="B1131" t="str">
        <f>"Folha Mensal"</f>
        <v>Folha Mensal</v>
      </c>
      <c r="C1131" t="str">
        <f>"Maria de Fatima Pinheiro da Costa"</f>
        <v>Maria de Fatima Pinheiro da Costa</v>
      </c>
      <c r="D1131" t="str">
        <f>"INT TEMP CONTRIBUICAO"</f>
        <v>INT TEMP CONTRIBUICAO</v>
      </c>
      <c r="E1131" t="str">
        <f>"Efetivo-Inativos II-RJUSM"</f>
        <v>Efetivo-Inativos II-RJUSM</v>
      </c>
      <c r="F1131" t="str">
        <f t="shared" si="108"/>
        <v>R$ 1.100,00</v>
      </c>
      <c r="G1131" t="str">
        <f>"R$ 1.430,00"</f>
        <v>R$ 1.430,00</v>
      </c>
      <c r="H1131" t="str">
        <f t="shared" si="101"/>
        <v>R$ 0,00</v>
      </c>
      <c r="I1131" t="str">
        <f>"R$ 1.430,00"</f>
        <v>R$ 1.430,00</v>
      </c>
      <c r="J1131" t="str">
        <f>"R$ 403,87"</f>
        <v>R$ 403,87</v>
      </c>
      <c r="K1131" t="str">
        <f>"R$ 1.026,13"</f>
        <v>R$ 1.026,13</v>
      </c>
    </row>
    <row r="1132" spans="1:11" x14ac:dyDescent="0.25">
      <c r="A1132" t="str">
        <f>"00065455 / 2"</f>
        <v>00065455 / 2</v>
      </c>
      <c r="B1132" t="str">
        <f>"13° Salário Anual"</f>
        <v>13° Salário Anual</v>
      </c>
      <c r="C1132" t="str">
        <f>"Maria de Fatima Sarmento Belfort"</f>
        <v>Maria de Fatima Sarmento Belfort</v>
      </c>
      <c r="D1132" t="str">
        <f>"AUXILIAR MUNICIPAL"</f>
        <v>AUXILIAR MUNICIPAL</v>
      </c>
      <c r="E1132" t="str">
        <f>"Efetivo-Inativos II-RJUSM"</f>
        <v>Efetivo-Inativos II-RJUSM</v>
      </c>
      <c r="F1132" t="str">
        <f t="shared" si="108"/>
        <v>R$ 1.100,00</v>
      </c>
      <c r="G1132" t="str">
        <f>"R$ 1.100,00"</f>
        <v>R$ 1.100,00</v>
      </c>
      <c r="H1132" t="str">
        <f t="shared" si="101"/>
        <v>R$ 0,00</v>
      </c>
      <c r="I1132" t="str">
        <f>"R$ 1.100,00"</f>
        <v>R$ 1.100,00</v>
      </c>
      <c r="J1132" t="str">
        <f>"R$ 550,00"</f>
        <v>R$ 550,00</v>
      </c>
      <c r="K1132" t="str">
        <f>"R$ 550,00"</f>
        <v>R$ 550,00</v>
      </c>
    </row>
    <row r="1133" spans="1:11" x14ac:dyDescent="0.25">
      <c r="A1133" t="str">
        <f>"00065455 / 2"</f>
        <v>00065455 / 2</v>
      </c>
      <c r="B1133" t="str">
        <f>"Folha Mensal"</f>
        <v>Folha Mensal</v>
      </c>
      <c r="C1133" t="str">
        <f>"Maria de Fatima Sarmento Belfort"</f>
        <v>Maria de Fatima Sarmento Belfort</v>
      </c>
      <c r="D1133" t="str">
        <f>"AUXILIAR MUNICIPAL"</f>
        <v>AUXILIAR MUNICIPAL</v>
      </c>
      <c r="E1133" t="str">
        <f>"Efetivo-Inativos II-RJUSM"</f>
        <v>Efetivo-Inativos II-RJUSM</v>
      </c>
      <c r="F1133" t="str">
        <f t="shared" si="108"/>
        <v>R$ 1.100,00</v>
      </c>
      <c r="G1133" t="str">
        <f>"R$ 1.100,00"</f>
        <v>R$ 1.100,00</v>
      </c>
      <c r="H1133" t="str">
        <f t="shared" si="101"/>
        <v>R$ 0,00</v>
      </c>
      <c r="I1133" t="str">
        <f>"R$ 1.100,00"</f>
        <v>R$ 1.100,00</v>
      </c>
      <c r="J1133" t="str">
        <f>"R$ 0,00"</f>
        <v>R$ 0,00</v>
      </c>
      <c r="K1133" t="str">
        <f>"R$ 1.100,00"</f>
        <v>R$ 1.100,00</v>
      </c>
    </row>
    <row r="1134" spans="1:11" x14ac:dyDescent="0.25">
      <c r="A1134" t="str">
        <f>"00007307 / 2"</f>
        <v>00007307 / 2</v>
      </c>
      <c r="B1134" t="str">
        <f>"13° Salário Anual"</f>
        <v>13° Salário Anual</v>
      </c>
      <c r="C1134" t="str">
        <f>"Maria de Fatima Serrao Palheta"</f>
        <v>Maria de Fatima Serrao Palheta</v>
      </c>
      <c r="D1134" t="str">
        <f>"INT TEMP CONTRIBUICAO"</f>
        <v>INT TEMP CONTRIBUICAO</v>
      </c>
      <c r="E1134" t="str">
        <f>"Efetivo-Inativo I- RJUSM"</f>
        <v>Efetivo-Inativo I- RJUSM</v>
      </c>
      <c r="F1134" t="str">
        <f t="shared" si="108"/>
        <v>R$ 1.100,00</v>
      </c>
      <c r="G1134" t="str">
        <f>"R$ 1.485,00"</f>
        <v>R$ 1.485,00</v>
      </c>
      <c r="H1134" t="str">
        <f t="shared" si="101"/>
        <v>R$ 0,00</v>
      </c>
      <c r="I1134" t="str">
        <f>"R$ 1.485,00"</f>
        <v>R$ 1.485,00</v>
      </c>
      <c r="J1134" t="str">
        <f>"R$ 742,50"</f>
        <v>R$ 742,50</v>
      </c>
      <c r="K1134" t="str">
        <f>"R$ 742,50"</f>
        <v>R$ 742,50</v>
      </c>
    </row>
    <row r="1135" spans="1:11" x14ac:dyDescent="0.25">
      <c r="A1135" t="str">
        <f>"00007307 / 2"</f>
        <v>00007307 / 2</v>
      </c>
      <c r="B1135" t="str">
        <f>"Folha Mensal"</f>
        <v>Folha Mensal</v>
      </c>
      <c r="C1135" t="str">
        <f>"Maria de Fatima Serrao Palheta"</f>
        <v>Maria de Fatima Serrao Palheta</v>
      </c>
      <c r="D1135" t="str">
        <f>"INT TEMP CONTRIBUICAO"</f>
        <v>INT TEMP CONTRIBUICAO</v>
      </c>
      <c r="E1135" t="str">
        <f>"Efetivo-Inativo I- RJUSM"</f>
        <v>Efetivo-Inativo I- RJUSM</v>
      </c>
      <c r="F1135" t="str">
        <f t="shared" si="108"/>
        <v>R$ 1.100,00</v>
      </c>
      <c r="G1135" t="str">
        <f>"R$ 1.485,00"</f>
        <v>R$ 1.485,00</v>
      </c>
      <c r="H1135" t="str">
        <f t="shared" si="101"/>
        <v>R$ 0,00</v>
      </c>
      <c r="I1135" t="str">
        <f>"R$ 1.485,00"</f>
        <v>R$ 1.485,00</v>
      </c>
      <c r="J1135" t="str">
        <f>"R$ 367,67"</f>
        <v>R$ 367,67</v>
      </c>
      <c r="K1135" t="str">
        <f>"R$ 1.117,33"</f>
        <v>R$ 1.117,33</v>
      </c>
    </row>
    <row r="1136" spans="1:11" x14ac:dyDescent="0.25">
      <c r="A1136" t="str">
        <f>"00003018 / 1"</f>
        <v>00003018 / 1</v>
      </c>
      <c r="B1136" t="str">
        <f>"13° Salário Anual"</f>
        <v>13° Salário Anual</v>
      </c>
      <c r="C1136" t="str">
        <f>"Maria de Jesus Barbosa"</f>
        <v>Maria de Jesus Barbosa</v>
      </c>
      <c r="D1136" t="str">
        <f>"PROFESSOR"</f>
        <v>PROFESSOR</v>
      </c>
      <c r="E1136" t="str">
        <f>"Efetivo-Inativo I- RJUSM"</f>
        <v>Efetivo-Inativo I- RJUSM</v>
      </c>
      <c r="F1136" t="str">
        <f>"R$ 1.593,46"</f>
        <v>R$ 1.593,46</v>
      </c>
      <c r="G1136" t="str">
        <f>"R$ 1.991,82"</f>
        <v>R$ 1.991,82</v>
      </c>
      <c r="H1136" t="str">
        <f t="shared" si="101"/>
        <v>R$ 0,00</v>
      </c>
      <c r="I1136" t="str">
        <f>"R$ 1.991,82"</f>
        <v>R$ 1.991,82</v>
      </c>
      <c r="J1136" t="str">
        <f>"R$ 995,91"</f>
        <v>R$ 995,91</v>
      </c>
      <c r="K1136" t="str">
        <f>"R$ 995,91"</f>
        <v>R$ 995,91</v>
      </c>
    </row>
    <row r="1137" spans="1:11" x14ac:dyDescent="0.25">
      <c r="A1137" t="str">
        <f>"00003018 / 1"</f>
        <v>00003018 / 1</v>
      </c>
      <c r="B1137" t="str">
        <f>"Folha Mensal"</f>
        <v>Folha Mensal</v>
      </c>
      <c r="C1137" t="str">
        <f>"Maria de Jesus Barbosa"</f>
        <v>Maria de Jesus Barbosa</v>
      </c>
      <c r="D1137" t="str">
        <f>"PROFESSOR"</f>
        <v>PROFESSOR</v>
      </c>
      <c r="E1137" t="str">
        <f>"Efetivo-Inativo I- RJUSM"</f>
        <v>Efetivo-Inativo I- RJUSM</v>
      </c>
      <c r="F1137" t="str">
        <f>"R$ 1.593,46"</f>
        <v>R$ 1.593,46</v>
      </c>
      <c r="G1137" t="str">
        <f>"R$ 1.991,82"</f>
        <v>R$ 1.991,82</v>
      </c>
      <c r="H1137" t="str">
        <f t="shared" si="101"/>
        <v>R$ 0,00</v>
      </c>
      <c r="I1137" t="str">
        <f>"R$ 1.991,82"</f>
        <v>R$ 1.991,82</v>
      </c>
      <c r="J1137" t="str">
        <f>"R$ 556,88"</f>
        <v>R$ 556,88</v>
      </c>
      <c r="K1137" t="str">
        <f>"R$ 1.434,94"</f>
        <v>R$ 1.434,94</v>
      </c>
    </row>
    <row r="1138" spans="1:11" x14ac:dyDescent="0.25">
      <c r="A1138" t="str">
        <f>"00265721 / 1"</f>
        <v>00265721 / 1</v>
      </c>
      <c r="B1138" t="str">
        <f>"13° Salário Anual"</f>
        <v>13° Salário Anual</v>
      </c>
      <c r="C1138" t="str">
        <f>"Maria de Jesus Matos Paraguassu"</f>
        <v>Maria de Jesus Matos Paraguassu</v>
      </c>
      <c r="D1138" t="str">
        <f>"PROP IDADE"</f>
        <v>PROP IDADE</v>
      </c>
      <c r="E1138" t="str">
        <f>"Efetivo-Inativos II-RJUSM"</f>
        <v>Efetivo-Inativos II-RJUSM</v>
      </c>
      <c r="F1138" t="str">
        <f>"R$ 1.100,00"</f>
        <v>R$ 1.100,00</v>
      </c>
      <c r="G1138" t="str">
        <f>"R$ 1.100,00"</f>
        <v>R$ 1.100,00</v>
      </c>
      <c r="H1138" t="str">
        <f t="shared" ref="H1138:H1201" si="109">"R$ 0,00"</f>
        <v>R$ 0,00</v>
      </c>
      <c r="I1138" t="str">
        <f>"R$ 1.100,00"</f>
        <v>R$ 1.100,00</v>
      </c>
      <c r="J1138" t="str">
        <f>"R$ 550,00"</f>
        <v>R$ 550,00</v>
      </c>
      <c r="K1138" t="str">
        <f>"R$ 550,00"</f>
        <v>R$ 550,00</v>
      </c>
    </row>
    <row r="1139" spans="1:11" x14ac:dyDescent="0.25">
      <c r="A1139" t="str">
        <f>"00265721 / 1"</f>
        <v>00265721 / 1</v>
      </c>
      <c r="B1139" t="str">
        <f>"Folha Mensal"</f>
        <v>Folha Mensal</v>
      </c>
      <c r="C1139" t="str">
        <f>"Maria de Jesus Matos Paraguassu"</f>
        <v>Maria de Jesus Matos Paraguassu</v>
      </c>
      <c r="D1139" t="str">
        <f>"PROP IDADE"</f>
        <v>PROP IDADE</v>
      </c>
      <c r="E1139" t="str">
        <f>"Efetivo-Inativos II-RJUSM"</f>
        <v>Efetivo-Inativos II-RJUSM</v>
      </c>
      <c r="F1139" t="str">
        <f>"R$ 1.100,00"</f>
        <v>R$ 1.100,00</v>
      </c>
      <c r="G1139" t="str">
        <f>"R$ 1.100,00"</f>
        <v>R$ 1.100,00</v>
      </c>
      <c r="H1139" t="str">
        <f t="shared" si="109"/>
        <v>R$ 0,00</v>
      </c>
      <c r="I1139" t="str">
        <f>"R$ 1.100,00"</f>
        <v>R$ 1.100,00</v>
      </c>
      <c r="J1139" t="str">
        <f>"R$ 313,24"</f>
        <v>R$ 313,24</v>
      </c>
      <c r="K1139" t="str">
        <f>"R$ 786,76"</f>
        <v>R$ 786,76</v>
      </c>
    </row>
    <row r="1140" spans="1:11" x14ac:dyDescent="0.25">
      <c r="A1140" t="str">
        <f>"00028002 / 1"</f>
        <v>00028002 / 1</v>
      </c>
      <c r="B1140" t="str">
        <f>"13° Salário Anual"</f>
        <v>13° Salário Anual</v>
      </c>
      <c r="C1140" t="str">
        <f>"Maria de Lourdes Barreto da Costa"</f>
        <v>Maria de Lourdes Barreto da Costa</v>
      </c>
      <c r="D1140" t="str">
        <f>"PROFESSOR"</f>
        <v>PROFESSOR</v>
      </c>
      <c r="E1140" t="str">
        <f>"Efetivo-Inativo I- RJUSM"</f>
        <v>Efetivo-Inativo I- RJUSM</v>
      </c>
      <c r="F1140" t="str">
        <f>"R$ 1.593,46"</f>
        <v>R$ 1.593,46</v>
      </c>
      <c r="G1140" t="str">
        <f>"R$ 1.593,46"</f>
        <v>R$ 1.593,46</v>
      </c>
      <c r="H1140" t="str">
        <f t="shared" si="109"/>
        <v>R$ 0,00</v>
      </c>
      <c r="I1140" t="str">
        <f>"R$ 1.593,46"</f>
        <v>R$ 1.593,46</v>
      </c>
      <c r="J1140" t="str">
        <f>"R$ 796,73"</f>
        <v>R$ 796,73</v>
      </c>
      <c r="K1140" t="str">
        <f>"R$ 796,73"</f>
        <v>R$ 796,73</v>
      </c>
    </row>
    <row r="1141" spans="1:11" x14ac:dyDescent="0.25">
      <c r="A1141" t="str">
        <f>"00028002 / 1"</f>
        <v>00028002 / 1</v>
      </c>
      <c r="B1141" t="str">
        <f>"Folha Mensal"</f>
        <v>Folha Mensal</v>
      </c>
      <c r="C1141" t="str">
        <f>"Maria de Lourdes Barreto da Costa"</f>
        <v>Maria de Lourdes Barreto da Costa</v>
      </c>
      <c r="D1141" t="str">
        <f>"PROFESSOR"</f>
        <v>PROFESSOR</v>
      </c>
      <c r="E1141" t="str">
        <f>"Efetivo-Inativo I- RJUSM"</f>
        <v>Efetivo-Inativo I- RJUSM</v>
      </c>
      <c r="F1141" t="str">
        <f>"R$ 1.593,46"</f>
        <v>R$ 1.593,46</v>
      </c>
      <c r="G1141" t="str">
        <f>"R$ 1.593,46"</f>
        <v>R$ 1.593,46</v>
      </c>
      <c r="H1141" t="str">
        <f t="shared" si="109"/>
        <v>R$ 0,00</v>
      </c>
      <c r="I1141" t="str">
        <f>"R$ 1.593,46"</f>
        <v>R$ 1.593,46</v>
      </c>
      <c r="J1141" t="str">
        <f>"R$ 189,67"</f>
        <v>R$ 189,67</v>
      </c>
      <c r="K1141" t="str">
        <f>"R$ 1.403,79"</f>
        <v>R$ 1.403,79</v>
      </c>
    </row>
    <row r="1142" spans="1:11" x14ac:dyDescent="0.25">
      <c r="A1142" t="str">
        <f>"00187119 / 1"</f>
        <v>00187119 / 1</v>
      </c>
      <c r="B1142" t="str">
        <f>"13° Salário Anual"</f>
        <v>13° Salário Anual</v>
      </c>
      <c r="C1142" t="str">
        <f>"Maria de Lourdes Canelas de Azevedo Santos"</f>
        <v>Maria de Lourdes Canelas de Azevedo Santos</v>
      </c>
      <c r="D1142" t="str">
        <f>"AUXILIAR MUNICIPAL"</f>
        <v>AUXILIAR MUNICIPAL</v>
      </c>
      <c r="E1142" t="str">
        <f>"Efetivo-Inativos II-RJUSM"</f>
        <v>Efetivo-Inativos II-RJUSM</v>
      </c>
      <c r="F1142" t="str">
        <f>"R$ 1.100,00"</f>
        <v>R$ 1.100,00</v>
      </c>
      <c r="G1142" t="str">
        <f>"R$ 1.100,00"</f>
        <v>R$ 1.100,00</v>
      </c>
      <c r="H1142" t="str">
        <f t="shared" si="109"/>
        <v>R$ 0,00</v>
      </c>
      <c r="I1142" t="str">
        <f>"R$ 1.100,00"</f>
        <v>R$ 1.100,00</v>
      </c>
      <c r="J1142" t="str">
        <f>"R$ 550,00"</f>
        <v>R$ 550,00</v>
      </c>
      <c r="K1142" t="str">
        <f>"R$ 550,00"</f>
        <v>R$ 550,00</v>
      </c>
    </row>
    <row r="1143" spans="1:11" x14ac:dyDescent="0.25">
      <c r="A1143" t="str">
        <f>"00187119 / 1"</f>
        <v>00187119 / 1</v>
      </c>
      <c r="B1143" t="str">
        <f>"Folha Mensal"</f>
        <v>Folha Mensal</v>
      </c>
      <c r="C1143" t="str">
        <f>"Maria de Lourdes Canelas de Azevedo Santos"</f>
        <v>Maria de Lourdes Canelas de Azevedo Santos</v>
      </c>
      <c r="D1143" t="str">
        <f>"AUXILIAR MUNICIPAL"</f>
        <v>AUXILIAR MUNICIPAL</v>
      </c>
      <c r="E1143" t="str">
        <f>"Efetivo-Inativos II-RJUSM"</f>
        <v>Efetivo-Inativos II-RJUSM</v>
      </c>
      <c r="F1143" t="str">
        <f>"R$ 1.100,00"</f>
        <v>R$ 1.100,00</v>
      </c>
      <c r="G1143" t="str">
        <f>"R$ 1.100,00"</f>
        <v>R$ 1.100,00</v>
      </c>
      <c r="H1143" t="str">
        <f t="shared" si="109"/>
        <v>R$ 0,00</v>
      </c>
      <c r="I1143" t="str">
        <f>"R$ 1.100,00"</f>
        <v>R$ 1.100,00</v>
      </c>
      <c r="J1143" t="str">
        <f>"R$ 0,00"</f>
        <v>R$ 0,00</v>
      </c>
      <c r="K1143" t="str">
        <f>"R$ 1.100,00"</f>
        <v>R$ 1.100,00</v>
      </c>
    </row>
    <row r="1144" spans="1:11" x14ac:dyDescent="0.25">
      <c r="A1144" t="str">
        <f>"00025143 / 1"</f>
        <v>00025143 / 1</v>
      </c>
      <c r="B1144" t="str">
        <f>"13° Salário Anual"</f>
        <v>13° Salário Anual</v>
      </c>
      <c r="C1144" t="str">
        <f>"Maria de Lourdes Cardoso de Araujo"</f>
        <v>Maria de Lourdes Cardoso de Araujo</v>
      </c>
      <c r="D1144" t="str">
        <f>"INT INVALIDEZ"</f>
        <v>INT INVALIDEZ</v>
      </c>
      <c r="E1144" t="str">
        <f t="shared" ref="E1144:E1149" si="110">"Efetivo-Inativo I- RJUSM"</f>
        <v>Efetivo-Inativo I- RJUSM</v>
      </c>
      <c r="F1144" t="str">
        <f>"R$ 1.100,00"</f>
        <v>R$ 1.100,00</v>
      </c>
      <c r="G1144" t="str">
        <f>"R$ 1.265,00"</f>
        <v>R$ 1.265,00</v>
      </c>
      <c r="H1144" t="str">
        <f t="shared" si="109"/>
        <v>R$ 0,00</v>
      </c>
      <c r="I1144" t="str">
        <f>"R$ 1.265,00"</f>
        <v>R$ 1.265,00</v>
      </c>
      <c r="J1144" t="str">
        <f>"R$ 632,50"</f>
        <v>R$ 632,50</v>
      </c>
      <c r="K1144" t="str">
        <f>"R$ 632,50"</f>
        <v>R$ 632,50</v>
      </c>
    </row>
    <row r="1145" spans="1:11" x14ac:dyDescent="0.25">
      <c r="A1145" t="str">
        <f>"00025143 / 1"</f>
        <v>00025143 / 1</v>
      </c>
      <c r="B1145" t="str">
        <f>"Folha Mensal"</f>
        <v>Folha Mensal</v>
      </c>
      <c r="C1145" t="str">
        <f>"Maria de Lourdes Cardoso de Araujo"</f>
        <v>Maria de Lourdes Cardoso de Araujo</v>
      </c>
      <c r="D1145" t="str">
        <f>"INT INVALIDEZ"</f>
        <v>INT INVALIDEZ</v>
      </c>
      <c r="E1145" t="str">
        <f t="shared" si="110"/>
        <v>Efetivo-Inativo I- RJUSM</v>
      </c>
      <c r="F1145" t="str">
        <f>"R$ 1.100,00"</f>
        <v>R$ 1.100,00</v>
      </c>
      <c r="G1145" t="str">
        <f>"R$ 1.265,00"</f>
        <v>R$ 1.265,00</v>
      </c>
      <c r="H1145" t="str">
        <f t="shared" si="109"/>
        <v>R$ 0,00</v>
      </c>
      <c r="I1145" t="str">
        <f>"R$ 1.265,00"</f>
        <v>R$ 1.265,00</v>
      </c>
      <c r="J1145" t="str">
        <f>"R$ 349,38"</f>
        <v>R$ 349,38</v>
      </c>
      <c r="K1145" t="str">
        <f>"R$ 915,62"</f>
        <v>R$ 915,62</v>
      </c>
    </row>
    <row r="1146" spans="1:11" x14ac:dyDescent="0.25">
      <c r="A1146" t="str">
        <f>"00025135 / 1"</f>
        <v>00025135 / 1</v>
      </c>
      <c r="B1146" t="str">
        <f>"13° Salário Anual"</f>
        <v>13° Salário Anual</v>
      </c>
      <c r="C1146" t="str">
        <f>"Maria de Lourdes Conceicao Alves"</f>
        <v>Maria de Lourdes Conceicao Alves</v>
      </c>
      <c r="D1146" t="str">
        <f>"PROP IDADE"</f>
        <v>PROP IDADE</v>
      </c>
      <c r="E1146" t="str">
        <f t="shared" si="110"/>
        <v>Efetivo-Inativo I- RJUSM</v>
      </c>
      <c r="F1146" t="str">
        <f>"R$ 1.100,00"</f>
        <v>R$ 1.100,00</v>
      </c>
      <c r="G1146" t="str">
        <f>"R$ 1.100,00"</f>
        <v>R$ 1.100,00</v>
      </c>
      <c r="H1146" t="str">
        <f t="shared" si="109"/>
        <v>R$ 0,00</v>
      </c>
      <c r="I1146" t="str">
        <f>"R$ 1.100,00"</f>
        <v>R$ 1.100,00</v>
      </c>
      <c r="J1146" t="str">
        <f>"R$ 550,00"</f>
        <v>R$ 550,00</v>
      </c>
      <c r="K1146" t="str">
        <f>"R$ 550,00"</f>
        <v>R$ 550,00</v>
      </c>
    </row>
    <row r="1147" spans="1:11" x14ac:dyDescent="0.25">
      <c r="A1147" t="str">
        <f>"00025135 / 1"</f>
        <v>00025135 / 1</v>
      </c>
      <c r="B1147" t="str">
        <f>"Folha Mensal"</f>
        <v>Folha Mensal</v>
      </c>
      <c r="C1147" t="str">
        <f>"Maria de Lourdes Conceicao Alves"</f>
        <v>Maria de Lourdes Conceicao Alves</v>
      </c>
      <c r="D1147" t="str">
        <f>"PROP IDADE"</f>
        <v>PROP IDADE</v>
      </c>
      <c r="E1147" t="str">
        <f t="shared" si="110"/>
        <v>Efetivo-Inativo I- RJUSM</v>
      </c>
      <c r="F1147" t="str">
        <f>"R$ 1.100,00"</f>
        <v>R$ 1.100,00</v>
      </c>
      <c r="G1147" t="str">
        <f>"R$ 1.100,00"</f>
        <v>R$ 1.100,00</v>
      </c>
      <c r="H1147" t="str">
        <f t="shared" si="109"/>
        <v>R$ 0,00</v>
      </c>
      <c r="I1147" t="str">
        <f>"R$ 1.100,00"</f>
        <v>R$ 1.100,00</v>
      </c>
      <c r="J1147" t="str">
        <f>"R$ 0,00"</f>
        <v>R$ 0,00</v>
      </c>
      <c r="K1147" t="str">
        <f>"R$ 1.100,00"</f>
        <v>R$ 1.100,00</v>
      </c>
    </row>
    <row r="1148" spans="1:11" x14ac:dyDescent="0.25">
      <c r="A1148" t="str">
        <f>"00010316 / 1"</f>
        <v>00010316 / 1</v>
      </c>
      <c r="B1148" t="str">
        <f>"13° Salário Anual"</f>
        <v>13° Salário Anual</v>
      </c>
      <c r="C1148" t="str">
        <f>"Maria de Lourdes de Carvalho Macedo"</f>
        <v>Maria de Lourdes de Carvalho Macedo</v>
      </c>
      <c r="D1148" t="str">
        <f>"PROP COMPULSORIA"</f>
        <v>PROP COMPULSORIA</v>
      </c>
      <c r="E1148" t="str">
        <f t="shared" si="110"/>
        <v>Efetivo-Inativo I- RJUSM</v>
      </c>
      <c r="F1148" t="str">
        <f>"R$ 1.914,68"</f>
        <v>R$ 1.914,68</v>
      </c>
      <c r="G1148" t="str">
        <f>"R$ 1.914,68"</f>
        <v>R$ 1.914,68</v>
      </c>
      <c r="H1148" t="str">
        <f t="shared" si="109"/>
        <v>R$ 0,00</v>
      </c>
      <c r="I1148" t="str">
        <f>"R$ 1.914,68"</f>
        <v>R$ 1.914,68</v>
      </c>
      <c r="J1148" t="str">
        <f>"R$ 957,34"</f>
        <v>R$ 957,34</v>
      </c>
      <c r="K1148" t="str">
        <f>"R$ 957,34"</f>
        <v>R$ 957,34</v>
      </c>
    </row>
    <row r="1149" spans="1:11" x14ac:dyDescent="0.25">
      <c r="A1149" t="str">
        <f>"00010316 / 1"</f>
        <v>00010316 / 1</v>
      </c>
      <c r="B1149" t="str">
        <f>"Folha Mensal"</f>
        <v>Folha Mensal</v>
      </c>
      <c r="C1149" t="str">
        <f>"Maria de Lourdes de Carvalho Macedo"</f>
        <v>Maria de Lourdes de Carvalho Macedo</v>
      </c>
      <c r="D1149" t="str">
        <f>"PROP COMPULSORIA"</f>
        <v>PROP COMPULSORIA</v>
      </c>
      <c r="E1149" t="str">
        <f t="shared" si="110"/>
        <v>Efetivo-Inativo I- RJUSM</v>
      </c>
      <c r="F1149" t="str">
        <f>"R$ 1.914,68"</f>
        <v>R$ 1.914,68</v>
      </c>
      <c r="G1149" t="str">
        <f>"R$ 1.914,68"</f>
        <v>R$ 1.914,68</v>
      </c>
      <c r="H1149" t="str">
        <f t="shared" si="109"/>
        <v>R$ 0,00</v>
      </c>
      <c r="I1149" t="str">
        <f>"R$ 1.914,68"</f>
        <v>R$ 1.914,68</v>
      </c>
      <c r="J1149" t="str">
        <f>"R$ 0,00"</f>
        <v>R$ 0,00</v>
      </c>
      <c r="K1149" t="str">
        <f>"R$ 1.914,68"</f>
        <v>R$ 1.914,68</v>
      </c>
    </row>
    <row r="1150" spans="1:11" x14ac:dyDescent="0.25">
      <c r="A1150" t="str">
        <f>"00026859 / 1"</f>
        <v>00026859 / 1</v>
      </c>
      <c r="B1150" t="str">
        <f>"13° Salário Anual"</f>
        <v>13° Salário Anual</v>
      </c>
      <c r="C1150" t="str">
        <f>"Maria de Lourdes Favacho da Silva"</f>
        <v>Maria de Lourdes Favacho da Silva</v>
      </c>
      <c r="D1150" t="str">
        <f>"INT TEMP CONTRIBUICAO"</f>
        <v>INT TEMP CONTRIBUICAO</v>
      </c>
      <c r="E1150" t="str">
        <f>"Efetivo-Inativos II-RJUSM"</f>
        <v>Efetivo-Inativos II-RJUSM</v>
      </c>
      <c r="F1150" t="str">
        <f>"R$ 1.100,00"</f>
        <v>R$ 1.100,00</v>
      </c>
      <c r="G1150" t="str">
        <f>"R$ 1.430,00"</f>
        <v>R$ 1.430,00</v>
      </c>
      <c r="H1150" t="str">
        <f t="shared" si="109"/>
        <v>R$ 0,00</v>
      </c>
      <c r="I1150" t="str">
        <f>"R$ 1.430,00"</f>
        <v>R$ 1.430,00</v>
      </c>
      <c r="J1150" t="str">
        <f>"R$ 715,00"</f>
        <v>R$ 715,00</v>
      </c>
      <c r="K1150" t="str">
        <f>"R$ 715,00"</f>
        <v>R$ 715,00</v>
      </c>
    </row>
    <row r="1151" spans="1:11" x14ac:dyDescent="0.25">
      <c r="A1151" t="str">
        <f>"00026859 / 1"</f>
        <v>00026859 / 1</v>
      </c>
      <c r="B1151" t="str">
        <f>"Folha Mensal"</f>
        <v>Folha Mensal</v>
      </c>
      <c r="C1151" t="str">
        <f>"Maria de Lourdes Favacho da Silva"</f>
        <v>Maria de Lourdes Favacho da Silva</v>
      </c>
      <c r="D1151" t="str">
        <f>"INT TEMP CONTRIBUICAO"</f>
        <v>INT TEMP CONTRIBUICAO</v>
      </c>
      <c r="E1151" t="str">
        <f>"Efetivo-Inativos II-RJUSM"</f>
        <v>Efetivo-Inativos II-RJUSM</v>
      </c>
      <c r="F1151" t="str">
        <f>"R$ 1.100,00"</f>
        <v>R$ 1.100,00</v>
      </c>
      <c r="G1151" t="str">
        <f>"R$ 1.430,00"</f>
        <v>R$ 1.430,00</v>
      </c>
      <c r="H1151" t="str">
        <f t="shared" si="109"/>
        <v>R$ 0,00</v>
      </c>
      <c r="I1151" t="str">
        <f>"R$ 1.430,00"</f>
        <v>R$ 1.430,00</v>
      </c>
      <c r="J1151" t="str">
        <f>"R$ 333,29"</f>
        <v>R$ 333,29</v>
      </c>
      <c r="K1151" t="str">
        <f>"R$ 1.096,71"</f>
        <v>R$ 1.096,71</v>
      </c>
    </row>
    <row r="1152" spans="1:11" x14ac:dyDescent="0.25">
      <c r="A1152" t="str">
        <f>"00026255 / 1"</f>
        <v>00026255 / 1</v>
      </c>
      <c r="B1152" t="str">
        <f>"13° Salário Anual"</f>
        <v>13° Salário Anual</v>
      </c>
      <c r="C1152" t="str">
        <f>"Maria de Lourdes Lins de Carvalho"</f>
        <v>Maria de Lourdes Lins de Carvalho</v>
      </c>
      <c r="D1152" t="str">
        <f>"PROFESSOR"</f>
        <v>PROFESSOR</v>
      </c>
      <c r="E1152" t="str">
        <f>"Efetivo-Inativo I- RJUSM"</f>
        <v>Efetivo-Inativo I- RJUSM</v>
      </c>
      <c r="F1152" t="str">
        <f>"R$ 2.230,85"</f>
        <v>R$ 2.230,85</v>
      </c>
      <c r="G1152" t="str">
        <f>"R$ 2.788,56"</f>
        <v>R$ 2.788,56</v>
      </c>
      <c r="H1152" t="str">
        <f t="shared" si="109"/>
        <v>R$ 0,00</v>
      </c>
      <c r="I1152" t="str">
        <f>"R$ 2.788,56"</f>
        <v>R$ 2.788,56</v>
      </c>
      <c r="J1152" t="str">
        <f>"R$ 1.460,62"</f>
        <v>R$ 1.460,62</v>
      </c>
      <c r="K1152" t="str">
        <f>"R$ 1.327,94"</f>
        <v>R$ 1.327,94</v>
      </c>
    </row>
    <row r="1153" spans="1:11" x14ac:dyDescent="0.25">
      <c r="A1153" t="str">
        <f>"00026255 / 1"</f>
        <v>00026255 / 1</v>
      </c>
      <c r="B1153" t="str">
        <f>"Folha Mensal"</f>
        <v>Folha Mensal</v>
      </c>
      <c r="C1153" t="str">
        <f>"Maria de Lourdes Lins de Carvalho"</f>
        <v>Maria de Lourdes Lins de Carvalho</v>
      </c>
      <c r="D1153" t="str">
        <f>"PROFESSOR"</f>
        <v>PROFESSOR</v>
      </c>
      <c r="E1153" t="str">
        <f>"Efetivo-Inativo I- RJUSM"</f>
        <v>Efetivo-Inativo I- RJUSM</v>
      </c>
      <c r="F1153" t="str">
        <f>"R$ 2.230,85"</f>
        <v>R$ 2.230,85</v>
      </c>
      <c r="G1153" t="str">
        <f>"R$ 2.788,56"</f>
        <v>R$ 2.788,56</v>
      </c>
      <c r="H1153" t="str">
        <f t="shared" si="109"/>
        <v>R$ 0,00</v>
      </c>
      <c r="I1153" t="str">
        <f>"R$ 2.788,56"</f>
        <v>R$ 2.788,56</v>
      </c>
      <c r="J1153" t="str">
        <f>"R$ 66,34"</f>
        <v>R$ 66,34</v>
      </c>
      <c r="K1153" t="str">
        <f>"R$ 2.722,22"</f>
        <v>R$ 2.722,22</v>
      </c>
    </row>
    <row r="1154" spans="1:11" x14ac:dyDescent="0.25">
      <c r="A1154" t="str">
        <f>"00006580 / 1"</f>
        <v>00006580 / 1</v>
      </c>
      <c r="B1154" t="str">
        <f>"13° Salário Anual"</f>
        <v>13° Salário Anual</v>
      </c>
      <c r="C1154" t="str">
        <f>"Maria de Nasare Sousa da Silva"</f>
        <v>Maria de Nasare Sousa da Silva</v>
      </c>
      <c r="D1154" t="str">
        <f>"PROFESSOR NIVEL I"</f>
        <v>PROFESSOR NIVEL I</v>
      </c>
      <c r="E1154" t="str">
        <f>"Efetivo-Inativos II-RJUSM"</f>
        <v>Efetivo-Inativos II-RJUSM</v>
      </c>
      <c r="F1154" t="str">
        <f>"R$ 3.585,31"</f>
        <v>R$ 3.585,31</v>
      </c>
      <c r="G1154" t="str">
        <f>"R$ 4.660,90"</f>
        <v>R$ 4.660,90</v>
      </c>
      <c r="H1154" t="str">
        <f t="shared" si="109"/>
        <v>R$ 0,00</v>
      </c>
      <c r="I1154" t="str">
        <f>"R$ 4.660,90"</f>
        <v>R$ 4.660,90</v>
      </c>
      <c r="J1154" t="str">
        <f>"R$ 2.700,36"</f>
        <v>R$ 2.700,36</v>
      </c>
      <c r="K1154" t="str">
        <f>"R$ 1.960,54"</f>
        <v>R$ 1.960,54</v>
      </c>
    </row>
    <row r="1155" spans="1:11" x14ac:dyDescent="0.25">
      <c r="A1155" t="str">
        <f>"00006580 / 1"</f>
        <v>00006580 / 1</v>
      </c>
      <c r="B1155" t="str">
        <f>"Folha Mensal"</f>
        <v>Folha Mensal</v>
      </c>
      <c r="C1155" t="str">
        <f>"Maria de Nasare Sousa da Silva"</f>
        <v>Maria de Nasare Sousa da Silva</v>
      </c>
      <c r="D1155" t="str">
        <f>"PROFESSOR NIVEL I"</f>
        <v>PROFESSOR NIVEL I</v>
      </c>
      <c r="E1155" t="str">
        <f>"Efetivo-Inativos II-RJUSM"</f>
        <v>Efetivo-Inativos II-RJUSM</v>
      </c>
      <c r="F1155" t="str">
        <f>"R$ 3.585,31"</f>
        <v>R$ 3.585,31</v>
      </c>
      <c r="G1155" t="str">
        <f>"R$ 4.660,90"</f>
        <v>R$ 4.660,90</v>
      </c>
      <c r="H1155" t="str">
        <f t="shared" si="109"/>
        <v>R$ 0,00</v>
      </c>
      <c r="I1155" t="str">
        <f>"R$ 4.660,90"</f>
        <v>R$ 4.660,90</v>
      </c>
      <c r="J1155" t="str">
        <f>"R$ 1.789,35"</f>
        <v>R$ 1.789,35</v>
      </c>
      <c r="K1155" t="str">
        <f>"R$ 2.871,55"</f>
        <v>R$ 2.871,55</v>
      </c>
    </row>
    <row r="1156" spans="1:11" x14ac:dyDescent="0.25">
      <c r="A1156" t="str">
        <f>"00026476 / 1"</f>
        <v>00026476 / 1</v>
      </c>
      <c r="B1156" t="str">
        <f>"13° Salário Anual"</f>
        <v>13° Salário Anual</v>
      </c>
      <c r="C1156" t="str">
        <f>"Maria de Nazare Almeida da Silva"</f>
        <v>Maria de Nazare Almeida da Silva</v>
      </c>
      <c r="D1156" t="str">
        <f>"PROFESSOR NIVEL II"</f>
        <v>PROFESSOR NIVEL II</v>
      </c>
      <c r="E1156" t="str">
        <f>"Efetivo-Inativos II-RJUSM"</f>
        <v>Efetivo-Inativos II-RJUSM</v>
      </c>
      <c r="F1156" t="str">
        <f>"R$ 5.577,14"</f>
        <v>R$ 5.577,14</v>
      </c>
      <c r="G1156" t="str">
        <f>"R$ 7.250,28"</f>
        <v>R$ 7.250,28</v>
      </c>
      <c r="H1156" t="str">
        <f t="shared" si="109"/>
        <v>R$ 0,00</v>
      </c>
      <c r="I1156" t="str">
        <f>"R$ 7.250,28"</f>
        <v>R$ 7.250,28</v>
      </c>
      <c r="J1156" t="str">
        <f>"R$ 4.814,11"</f>
        <v>R$ 4.814,11</v>
      </c>
      <c r="K1156" t="str">
        <f>"R$ 2.436,17"</f>
        <v>R$ 2.436,17</v>
      </c>
    </row>
    <row r="1157" spans="1:11" x14ac:dyDescent="0.25">
      <c r="A1157" t="str">
        <f>"00026476 / 1"</f>
        <v>00026476 / 1</v>
      </c>
      <c r="B1157" t="str">
        <f>"Folha Mensal"</f>
        <v>Folha Mensal</v>
      </c>
      <c r="C1157" t="str">
        <f>"Maria de Nazare Almeida da Silva"</f>
        <v>Maria de Nazare Almeida da Silva</v>
      </c>
      <c r="D1157" t="str">
        <f>"PROFESSOR NIVEL II"</f>
        <v>PROFESSOR NIVEL II</v>
      </c>
      <c r="E1157" t="str">
        <f>"Efetivo-Inativos II-RJUSM"</f>
        <v>Efetivo-Inativos II-RJUSM</v>
      </c>
      <c r="F1157" t="str">
        <f>"R$ 5.577,14"</f>
        <v>R$ 5.577,14</v>
      </c>
      <c r="G1157" t="str">
        <f>"R$ 7.250,28"</f>
        <v>R$ 7.250,28</v>
      </c>
      <c r="H1157" t="str">
        <f t="shared" si="109"/>
        <v>R$ 0,00</v>
      </c>
      <c r="I1157" t="str">
        <f>"R$ 7.250,28"</f>
        <v>R$ 7.250,28</v>
      </c>
      <c r="J1157" t="str">
        <f>"R$ 3.316,70"</f>
        <v>R$ 3.316,70</v>
      </c>
      <c r="K1157" t="str">
        <f>"R$ 3.933,58"</f>
        <v>R$ 3.933,58</v>
      </c>
    </row>
    <row r="1158" spans="1:11" x14ac:dyDescent="0.25">
      <c r="A1158" t="str">
        <f>"00024937 / 1"</f>
        <v>00024937 / 1</v>
      </c>
      <c r="B1158" t="str">
        <f>"13° Salário Anual"</f>
        <v>13° Salário Anual</v>
      </c>
      <c r="C1158" t="str">
        <f>"Maria de Nazare Amanajas Pinheiro"</f>
        <v>Maria de Nazare Amanajas Pinheiro</v>
      </c>
      <c r="D1158" t="str">
        <f>"PROP IDADE"</f>
        <v>PROP IDADE</v>
      </c>
      <c r="E1158" t="str">
        <f>"Efetivo-Inativo I- RJUSM"</f>
        <v>Efetivo-Inativo I- RJUSM</v>
      </c>
      <c r="F1158" t="str">
        <f>"R$ 1.100,00"</f>
        <v>R$ 1.100,00</v>
      </c>
      <c r="G1158" t="str">
        <f>"R$ 1.100,00"</f>
        <v>R$ 1.100,00</v>
      </c>
      <c r="H1158" t="str">
        <f t="shared" si="109"/>
        <v>R$ 0,00</v>
      </c>
      <c r="I1158" t="str">
        <f>"R$ 1.100,00"</f>
        <v>R$ 1.100,00</v>
      </c>
      <c r="J1158" t="str">
        <f>"R$ 550,00"</f>
        <v>R$ 550,00</v>
      </c>
      <c r="K1158" t="str">
        <f>"R$ 550,00"</f>
        <v>R$ 550,00</v>
      </c>
    </row>
    <row r="1159" spans="1:11" x14ac:dyDescent="0.25">
      <c r="A1159" t="str">
        <f>"00024937 / 1"</f>
        <v>00024937 / 1</v>
      </c>
      <c r="B1159" t="str">
        <f>"Folha Mensal"</f>
        <v>Folha Mensal</v>
      </c>
      <c r="C1159" t="str">
        <f>"Maria de Nazare Amanajas Pinheiro"</f>
        <v>Maria de Nazare Amanajas Pinheiro</v>
      </c>
      <c r="D1159" t="str">
        <f>"PROP IDADE"</f>
        <v>PROP IDADE</v>
      </c>
      <c r="E1159" t="str">
        <f>"Efetivo-Inativo I- RJUSM"</f>
        <v>Efetivo-Inativo I- RJUSM</v>
      </c>
      <c r="F1159" t="str">
        <f>"R$ 1.100,00"</f>
        <v>R$ 1.100,00</v>
      </c>
      <c r="G1159" t="str">
        <f>"R$ 1.100,00"</f>
        <v>R$ 1.100,00</v>
      </c>
      <c r="H1159" t="str">
        <f t="shared" si="109"/>
        <v>R$ 0,00</v>
      </c>
      <c r="I1159" t="str">
        <f>"R$ 1.100,00"</f>
        <v>R$ 1.100,00</v>
      </c>
      <c r="J1159" t="str">
        <f>"R$ 0,00"</f>
        <v>R$ 0,00</v>
      </c>
      <c r="K1159" t="str">
        <f>"R$ 1.100,00"</f>
        <v>R$ 1.100,00</v>
      </c>
    </row>
    <row r="1160" spans="1:11" x14ac:dyDescent="0.25">
      <c r="A1160" t="str">
        <f>"03641686 / 1"</f>
        <v>03641686 / 1</v>
      </c>
      <c r="B1160" t="str">
        <f>"13° Salário Anual"</f>
        <v>13° Salário Anual</v>
      </c>
      <c r="C1160" t="str">
        <f>"Maria de Nazare Azevedo Barata"</f>
        <v>Maria de Nazare Azevedo Barata</v>
      </c>
      <c r="D1160" t="str">
        <f>"TECNICO MUNICIPAL"</f>
        <v>TECNICO MUNICIPAL</v>
      </c>
      <c r="E1160" t="str">
        <f>"Efetivo-Inativos II-RJUSM"</f>
        <v>Efetivo-Inativos II-RJUSM</v>
      </c>
      <c r="F1160" t="str">
        <f>"R$ 1.100,00"</f>
        <v>R$ 1.100,00</v>
      </c>
      <c r="G1160" t="str">
        <f>"R$ 495,00"</f>
        <v>R$ 495,00</v>
      </c>
      <c r="H1160" t="str">
        <f t="shared" si="109"/>
        <v>R$ 0,00</v>
      </c>
      <c r="I1160" t="str">
        <f>"R$ 495,00"</f>
        <v>R$ 495,00</v>
      </c>
      <c r="J1160" t="str">
        <f>"R$ 247,50"</f>
        <v>R$ 247,50</v>
      </c>
      <c r="K1160" t="str">
        <f>"R$ 247,50"</f>
        <v>R$ 247,50</v>
      </c>
    </row>
    <row r="1161" spans="1:11" x14ac:dyDescent="0.25">
      <c r="A1161" t="str">
        <f>"03641686 / 1"</f>
        <v>03641686 / 1</v>
      </c>
      <c r="B1161" t="str">
        <f>"Folha Mensal"</f>
        <v>Folha Mensal</v>
      </c>
      <c r="C1161" t="str">
        <f>"Maria de Nazare Azevedo Barata"</f>
        <v>Maria de Nazare Azevedo Barata</v>
      </c>
      <c r="D1161" t="str">
        <f>"TECNICO MUNICIPAL"</f>
        <v>TECNICO MUNICIPAL</v>
      </c>
      <c r="E1161" t="str">
        <f>"Efetivo-Inativos II-RJUSM"</f>
        <v>Efetivo-Inativos II-RJUSM</v>
      </c>
      <c r="F1161" t="str">
        <f>"R$ 1.100,00"</f>
        <v>R$ 1.100,00</v>
      </c>
      <c r="G1161" t="str">
        <f>"R$ 1.485,00"</f>
        <v>R$ 1.485,00</v>
      </c>
      <c r="H1161" t="str">
        <f t="shared" si="109"/>
        <v>R$ 0,00</v>
      </c>
      <c r="I1161" t="str">
        <f>"R$ 1.485,00"</f>
        <v>R$ 1.485,00</v>
      </c>
      <c r="J1161" t="str">
        <f>"R$ 0,00"</f>
        <v>R$ 0,00</v>
      </c>
      <c r="K1161" t="str">
        <f>"R$ 1.485,00"</f>
        <v>R$ 1.485,00</v>
      </c>
    </row>
    <row r="1162" spans="1:11" x14ac:dyDescent="0.25">
      <c r="A1162" t="str">
        <f>"00023205 / 1"</f>
        <v>00023205 / 1</v>
      </c>
      <c r="B1162" t="str">
        <f>"13° Salário Anual"</f>
        <v>13° Salário Anual</v>
      </c>
      <c r="C1162" t="str">
        <f>"Maria de Nazare Barbosa da Silva"</f>
        <v>Maria de Nazare Barbosa da Silva</v>
      </c>
      <c r="D1162" t="str">
        <f>"PROFESSOR NIVEL II"</f>
        <v>PROFESSOR NIVEL II</v>
      </c>
      <c r="E1162" t="str">
        <f>"Efetivo-Inativos II-RJUSM"</f>
        <v>Efetivo-Inativos II-RJUSM</v>
      </c>
      <c r="F1162" t="str">
        <f>"R$ 5.417,81"</f>
        <v>R$ 5.417,81</v>
      </c>
      <c r="G1162" t="str">
        <f>"R$ 6.772,26"</f>
        <v>R$ 6.772,26</v>
      </c>
      <c r="H1162" t="str">
        <f t="shared" si="109"/>
        <v>R$ 0,00</v>
      </c>
      <c r="I1162" t="str">
        <f>"R$ 6.772,26"</f>
        <v>R$ 6.772,26</v>
      </c>
      <c r="J1162" t="str">
        <f>"R$ 3.923,66"</f>
        <v>R$ 3.923,66</v>
      </c>
      <c r="K1162" t="str">
        <f>"R$ 2.848,60"</f>
        <v>R$ 2.848,60</v>
      </c>
    </row>
    <row r="1163" spans="1:11" x14ac:dyDescent="0.25">
      <c r="A1163" t="str">
        <f>"00023205 / 1"</f>
        <v>00023205 / 1</v>
      </c>
      <c r="B1163" t="str">
        <f>"Folha Mensal"</f>
        <v>Folha Mensal</v>
      </c>
      <c r="C1163" t="str">
        <f>"Maria de Nazare Barbosa da Silva"</f>
        <v>Maria de Nazare Barbosa da Silva</v>
      </c>
      <c r="D1163" t="str">
        <f>"PROFESSOR NIVEL II"</f>
        <v>PROFESSOR NIVEL II</v>
      </c>
      <c r="E1163" t="str">
        <f>"Efetivo-Inativos II-RJUSM"</f>
        <v>Efetivo-Inativos II-RJUSM</v>
      </c>
      <c r="F1163" t="str">
        <f>"R$ 5.417,81"</f>
        <v>R$ 5.417,81</v>
      </c>
      <c r="G1163" t="str">
        <f>"R$ 6.772,26"</f>
        <v>R$ 6.772,26</v>
      </c>
      <c r="H1163" t="str">
        <f t="shared" si="109"/>
        <v>R$ 0,00</v>
      </c>
      <c r="I1163" t="str">
        <f>"R$ 6.772,26"</f>
        <v>R$ 6.772,26</v>
      </c>
      <c r="J1163" t="str">
        <f>"R$ 2.837,51"</f>
        <v>R$ 2.837,51</v>
      </c>
      <c r="K1163" t="str">
        <f>"R$ 3.934,75"</f>
        <v>R$ 3.934,75</v>
      </c>
    </row>
    <row r="1164" spans="1:11" x14ac:dyDescent="0.25">
      <c r="A1164" t="str">
        <f>"00302929 / 1"</f>
        <v>00302929 / 1</v>
      </c>
      <c r="B1164" t="str">
        <f>"13° Salário Anual"</f>
        <v>13° Salário Anual</v>
      </c>
      <c r="C1164" t="str">
        <f>"Maria de Nazare Canelas Benevides"</f>
        <v>Maria de Nazare Canelas Benevides</v>
      </c>
      <c r="D1164" t="str">
        <f t="shared" ref="D1164:D1169" si="111">"PROFESSOR"</f>
        <v>PROFESSOR</v>
      </c>
      <c r="E1164" t="str">
        <f t="shared" ref="E1164:E1171" si="112">"Efetivo-Inativo I- RJUSM"</f>
        <v>Efetivo-Inativo I- RJUSM</v>
      </c>
      <c r="F1164" t="str">
        <f>"R$ 1.593,46"</f>
        <v>R$ 1.593,46</v>
      </c>
      <c r="G1164" t="str">
        <f>"R$ 1.593,46"</f>
        <v>R$ 1.593,46</v>
      </c>
      <c r="H1164" t="str">
        <f t="shared" si="109"/>
        <v>R$ 0,00</v>
      </c>
      <c r="I1164" t="str">
        <f>"R$ 1.593,46"</f>
        <v>R$ 1.593,46</v>
      </c>
      <c r="J1164" t="str">
        <f>"R$ 796,73"</f>
        <v>R$ 796,73</v>
      </c>
      <c r="K1164" t="str">
        <f>"R$ 796,73"</f>
        <v>R$ 796,73</v>
      </c>
    </row>
    <row r="1165" spans="1:11" x14ac:dyDescent="0.25">
      <c r="A1165" t="str">
        <f>"00302929 / 1"</f>
        <v>00302929 / 1</v>
      </c>
      <c r="B1165" t="str">
        <f>"Folha Mensal"</f>
        <v>Folha Mensal</v>
      </c>
      <c r="C1165" t="str">
        <f>"Maria de Nazare Canelas Benevides"</f>
        <v>Maria de Nazare Canelas Benevides</v>
      </c>
      <c r="D1165" t="str">
        <f t="shared" si="111"/>
        <v>PROFESSOR</v>
      </c>
      <c r="E1165" t="str">
        <f t="shared" si="112"/>
        <v>Efetivo-Inativo I- RJUSM</v>
      </c>
      <c r="F1165" t="str">
        <f>"R$ 1.593,46"</f>
        <v>R$ 1.593,46</v>
      </c>
      <c r="G1165" t="str">
        <f>"R$ 1.593,46"</f>
        <v>R$ 1.593,46</v>
      </c>
      <c r="H1165" t="str">
        <f t="shared" si="109"/>
        <v>R$ 0,00</v>
      </c>
      <c r="I1165" t="str">
        <f>"R$ 1.593,46"</f>
        <v>R$ 1.593,46</v>
      </c>
      <c r="J1165" t="str">
        <f>"R$ 0,00"</f>
        <v>R$ 0,00</v>
      </c>
      <c r="K1165" t="str">
        <f>"R$ 1.593,46"</f>
        <v>R$ 1.593,46</v>
      </c>
    </row>
    <row r="1166" spans="1:11" x14ac:dyDescent="0.25">
      <c r="A1166" t="str">
        <f>"00001201 / 1"</f>
        <v>00001201 / 1</v>
      </c>
      <c r="B1166" t="str">
        <f>"13° Salário Anual"</f>
        <v>13° Salário Anual</v>
      </c>
      <c r="C1166" t="str">
        <f>"Maria de Nazare Costa de Souza"</f>
        <v>Maria de Nazare Costa de Souza</v>
      </c>
      <c r="D1166" t="str">
        <f t="shared" si="111"/>
        <v>PROFESSOR</v>
      </c>
      <c r="E1166" t="str">
        <f t="shared" si="112"/>
        <v>Efetivo-Inativo I- RJUSM</v>
      </c>
      <c r="F1166" t="str">
        <f>"R$ 2.629,22"</f>
        <v>R$ 2.629,22</v>
      </c>
      <c r="G1166" t="str">
        <f>"R$ 1.991,82"</f>
        <v>R$ 1.991,82</v>
      </c>
      <c r="H1166" t="str">
        <f t="shared" si="109"/>
        <v>R$ 0,00</v>
      </c>
      <c r="I1166" t="str">
        <f>"R$ 1.991,82"</f>
        <v>R$ 1.991,82</v>
      </c>
      <c r="J1166" t="str">
        <f>"R$ 995,91"</f>
        <v>R$ 995,91</v>
      </c>
      <c r="K1166" t="str">
        <f>"R$ 995,91"</f>
        <v>R$ 995,91</v>
      </c>
    </row>
    <row r="1167" spans="1:11" x14ac:dyDescent="0.25">
      <c r="A1167" t="str">
        <f>"00001201 / 1"</f>
        <v>00001201 / 1</v>
      </c>
      <c r="B1167" t="str">
        <f>"Folha Mensal"</f>
        <v>Folha Mensal</v>
      </c>
      <c r="C1167" t="str">
        <f>"Maria de Nazare Costa de Souza"</f>
        <v>Maria de Nazare Costa de Souza</v>
      </c>
      <c r="D1167" t="str">
        <f t="shared" si="111"/>
        <v>PROFESSOR</v>
      </c>
      <c r="E1167" t="str">
        <f t="shared" si="112"/>
        <v>Efetivo-Inativo I- RJUSM</v>
      </c>
      <c r="F1167" t="str">
        <f>"R$ 2.629,22"</f>
        <v>R$ 2.629,22</v>
      </c>
      <c r="G1167" t="str">
        <f>"R$ 3.286,52"</f>
        <v>R$ 3.286,52</v>
      </c>
      <c r="H1167" t="str">
        <f t="shared" si="109"/>
        <v>R$ 0,00</v>
      </c>
      <c r="I1167" t="str">
        <f>"R$ 3.286,52"</f>
        <v>R$ 3.286,52</v>
      </c>
      <c r="J1167" t="str">
        <f>"R$ 592,73"</f>
        <v>R$ 592,73</v>
      </c>
      <c r="K1167" t="str">
        <f>"R$ 2.693,79"</f>
        <v>R$ 2.693,79</v>
      </c>
    </row>
    <row r="1168" spans="1:11" x14ac:dyDescent="0.25">
      <c r="A1168" t="str">
        <f>"00010634 / 1"</f>
        <v>00010634 / 1</v>
      </c>
      <c r="B1168" t="str">
        <f>"13° Salário Anual"</f>
        <v>13° Salário Anual</v>
      </c>
      <c r="C1168" t="str">
        <f>"Maria de Nazare da Silva Pinheiro"</f>
        <v>Maria de Nazare da Silva Pinheiro</v>
      </c>
      <c r="D1168" t="str">
        <f t="shared" si="111"/>
        <v>PROFESSOR</v>
      </c>
      <c r="E1168" t="str">
        <f t="shared" si="112"/>
        <v>Efetivo-Inativo I- RJUSM</v>
      </c>
      <c r="F1168" t="str">
        <f>"R$ 2.071,51"</f>
        <v>R$ 2.071,51</v>
      </c>
      <c r="G1168" t="str">
        <f>"R$ 2.589,38"</f>
        <v>R$ 2.589,38</v>
      </c>
      <c r="H1168" t="str">
        <f t="shared" si="109"/>
        <v>R$ 0,00</v>
      </c>
      <c r="I1168" t="str">
        <f>"R$ 2.589,38"</f>
        <v>R$ 2.589,38</v>
      </c>
      <c r="J1168" t="str">
        <f>"R$ 1.346,09"</f>
        <v>R$ 1.346,09</v>
      </c>
      <c r="K1168" t="str">
        <f>"R$ 1.243,29"</f>
        <v>R$ 1.243,29</v>
      </c>
    </row>
    <row r="1169" spans="1:11" x14ac:dyDescent="0.25">
      <c r="A1169" t="str">
        <f>"00010634 / 1"</f>
        <v>00010634 / 1</v>
      </c>
      <c r="B1169" t="str">
        <f>"Folha Mensal"</f>
        <v>Folha Mensal</v>
      </c>
      <c r="C1169" t="str">
        <f>"Maria de Nazare da Silva Pinheiro"</f>
        <v>Maria de Nazare da Silva Pinheiro</v>
      </c>
      <c r="D1169" t="str">
        <f t="shared" si="111"/>
        <v>PROFESSOR</v>
      </c>
      <c r="E1169" t="str">
        <f t="shared" si="112"/>
        <v>Efetivo-Inativo I- RJUSM</v>
      </c>
      <c r="F1169" t="str">
        <f>"R$ 2.071,51"</f>
        <v>R$ 2.071,51</v>
      </c>
      <c r="G1169" t="str">
        <f>"R$ 2.589,38"</f>
        <v>R$ 2.589,38</v>
      </c>
      <c r="H1169" t="str">
        <f t="shared" si="109"/>
        <v>R$ 0,00</v>
      </c>
      <c r="I1169" t="str">
        <f>"R$ 2.589,38"</f>
        <v>R$ 2.589,38</v>
      </c>
      <c r="J1169" t="str">
        <f>"R$ 736,05"</f>
        <v>R$ 736,05</v>
      </c>
      <c r="K1169" t="str">
        <f>"R$ 1.853,33"</f>
        <v>R$ 1.853,33</v>
      </c>
    </row>
    <row r="1170" spans="1:11" x14ac:dyDescent="0.25">
      <c r="A1170" t="str">
        <f>"00004006 / 1"</f>
        <v>00004006 / 1</v>
      </c>
      <c r="B1170" t="str">
        <f>"13° Salário Anual"</f>
        <v>13° Salário Anual</v>
      </c>
      <c r="C1170" t="str">
        <f>"Maria de Nazare do Rosario da Silva"</f>
        <v>Maria de Nazare do Rosario da Silva</v>
      </c>
      <c r="D1170" t="str">
        <f>"INT TEMP SERVICO"</f>
        <v>INT TEMP SERVICO</v>
      </c>
      <c r="E1170" t="str">
        <f t="shared" si="112"/>
        <v>Efetivo-Inativo I- RJUSM</v>
      </c>
      <c r="F1170" t="str">
        <f>"R$ 1.100,00"</f>
        <v>R$ 1.100,00</v>
      </c>
      <c r="G1170" t="str">
        <f>"R$ 1.320,00"</f>
        <v>R$ 1.320,00</v>
      </c>
      <c r="H1170" t="str">
        <f t="shared" si="109"/>
        <v>R$ 0,00</v>
      </c>
      <c r="I1170" t="str">
        <f>"R$ 1.320,00"</f>
        <v>R$ 1.320,00</v>
      </c>
      <c r="J1170" t="str">
        <f>"R$ 660,00"</f>
        <v>R$ 660,00</v>
      </c>
      <c r="K1170" t="str">
        <f>"R$ 660,00"</f>
        <v>R$ 660,00</v>
      </c>
    </row>
    <row r="1171" spans="1:11" x14ac:dyDescent="0.25">
      <c r="A1171" t="str">
        <f>"00004006 / 1"</f>
        <v>00004006 / 1</v>
      </c>
      <c r="B1171" t="str">
        <f>"Folha Mensal"</f>
        <v>Folha Mensal</v>
      </c>
      <c r="C1171" t="str">
        <f>"Maria de Nazare do Rosario da Silva"</f>
        <v>Maria de Nazare do Rosario da Silva</v>
      </c>
      <c r="D1171" t="str">
        <f>"INT TEMP SERVICO"</f>
        <v>INT TEMP SERVICO</v>
      </c>
      <c r="E1171" t="str">
        <f t="shared" si="112"/>
        <v>Efetivo-Inativo I- RJUSM</v>
      </c>
      <c r="F1171" t="str">
        <f>"R$ 1.100,00"</f>
        <v>R$ 1.100,00</v>
      </c>
      <c r="G1171" t="str">
        <f>"R$ 1.320,00"</f>
        <v>R$ 1.320,00</v>
      </c>
      <c r="H1171" t="str">
        <f t="shared" si="109"/>
        <v>R$ 0,00</v>
      </c>
      <c r="I1171" t="str">
        <f>"R$ 1.320,00"</f>
        <v>R$ 1.320,00</v>
      </c>
      <c r="J1171" t="str">
        <f>"R$ 72,05"</f>
        <v>R$ 72,05</v>
      </c>
      <c r="K1171" t="str">
        <f>"R$ 1.247,95"</f>
        <v>R$ 1.247,95</v>
      </c>
    </row>
    <row r="1172" spans="1:11" x14ac:dyDescent="0.25">
      <c r="A1172" t="str">
        <f>"00013315 / 1"</f>
        <v>00013315 / 1</v>
      </c>
      <c r="B1172" t="str">
        <f>"13° Salário Anual"</f>
        <v>13° Salário Anual</v>
      </c>
      <c r="C1172" t="str">
        <f>"Maria de Nazare Falcao Rocha de Souza"</f>
        <v>Maria de Nazare Falcao Rocha de Souza</v>
      </c>
      <c r="D1172" t="str">
        <f>"PROFESSOR NIVEL I"</f>
        <v>PROFESSOR NIVEL I</v>
      </c>
      <c r="E1172" t="str">
        <f t="shared" ref="E1172:E1179" si="113">"Efetivo-Inativos II-RJUSM"</f>
        <v>Efetivo-Inativos II-RJUSM</v>
      </c>
      <c r="F1172" t="str">
        <f>"R$ 2.390,21"</f>
        <v>R$ 2.390,21</v>
      </c>
      <c r="G1172" t="str">
        <f>"R$ 3.226,78"</f>
        <v>R$ 3.226,78</v>
      </c>
      <c r="H1172" t="str">
        <f t="shared" si="109"/>
        <v>R$ 0,00</v>
      </c>
      <c r="I1172" t="str">
        <f>"R$ 3.226,78"</f>
        <v>R$ 3.226,78</v>
      </c>
      <c r="J1172" t="str">
        <f>"R$ 1.742,60"</f>
        <v>R$ 1.742,60</v>
      </c>
      <c r="K1172" t="str">
        <f>"R$ 1.484,18"</f>
        <v>R$ 1.484,18</v>
      </c>
    </row>
    <row r="1173" spans="1:11" x14ac:dyDescent="0.25">
      <c r="A1173" t="str">
        <f>"00013315 / 1"</f>
        <v>00013315 / 1</v>
      </c>
      <c r="B1173" t="str">
        <f>"Folha Mensal"</f>
        <v>Folha Mensal</v>
      </c>
      <c r="C1173" t="str">
        <f>"Maria de Nazare Falcao Rocha de Souza"</f>
        <v>Maria de Nazare Falcao Rocha de Souza</v>
      </c>
      <c r="D1173" t="str">
        <f>"PROFESSOR NIVEL I"</f>
        <v>PROFESSOR NIVEL I</v>
      </c>
      <c r="E1173" t="str">
        <f t="shared" si="113"/>
        <v>Efetivo-Inativos II-RJUSM</v>
      </c>
      <c r="F1173" t="str">
        <f>"R$ 2.390,21"</f>
        <v>R$ 2.390,21</v>
      </c>
      <c r="G1173" t="str">
        <f>"R$ 3.226,78"</f>
        <v>R$ 3.226,78</v>
      </c>
      <c r="H1173" t="str">
        <f t="shared" si="109"/>
        <v>R$ 0,00</v>
      </c>
      <c r="I1173" t="str">
        <f>"R$ 3.226,78"</f>
        <v>R$ 3.226,78</v>
      </c>
      <c r="J1173" t="str">
        <f>"R$ 129,21"</f>
        <v>R$ 129,21</v>
      </c>
      <c r="K1173" t="str">
        <f>"R$ 3.097,57"</f>
        <v>R$ 3.097,57</v>
      </c>
    </row>
    <row r="1174" spans="1:11" x14ac:dyDescent="0.25">
      <c r="A1174" t="str">
        <f>"00265756 / 1"</f>
        <v>00265756 / 1</v>
      </c>
      <c r="B1174" t="str">
        <f>"13° Salário Anual"</f>
        <v>13° Salário Anual</v>
      </c>
      <c r="C1174" t="str">
        <f>"Maria de Nazare Garcia dos Santos"</f>
        <v>Maria de Nazare Garcia dos Santos</v>
      </c>
      <c r="D1174" t="str">
        <f>"PROP IDADE"</f>
        <v>PROP IDADE</v>
      </c>
      <c r="E1174" t="str">
        <f t="shared" si="113"/>
        <v>Efetivo-Inativos II-RJUSM</v>
      </c>
      <c r="F1174" t="str">
        <f>"R$ 1.100,00"</f>
        <v>R$ 1.100,00</v>
      </c>
      <c r="G1174" t="str">
        <f>"R$ 1.100,00"</f>
        <v>R$ 1.100,00</v>
      </c>
      <c r="H1174" t="str">
        <f t="shared" si="109"/>
        <v>R$ 0,00</v>
      </c>
      <c r="I1174" t="str">
        <f>"R$ 1.100,00"</f>
        <v>R$ 1.100,00</v>
      </c>
      <c r="J1174" t="str">
        <f>"R$ 550,00"</f>
        <v>R$ 550,00</v>
      </c>
      <c r="K1174" t="str">
        <f>"R$ 550,00"</f>
        <v>R$ 550,00</v>
      </c>
    </row>
    <row r="1175" spans="1:11" x14ac:dyDescent="0.25">
      <c r="A1175" t="str">
        <f>"00265756 / 1"</f>
        <v>00265756 / 1</v>
      </c>
      <c r="B1175" t="str">
        <f>"Folha Mensal"</f>
        <v>Folha Mensal</v>
      </c>
      <c r="C1175" t="str">
        <f>"Maria de Nazare Garcia dos Santos"</f>
        <v>Maria de Nazare Garcia dos Santos</v>
      </c>
      <c r="D1175" t="str">
        <f>"PROP IDADE"</f>
        <v>PROP IDADE</v>
      </c>
      <c r="E1175" t="str">
        <f t="shared" si="113"/>
        <v>Efetivo-Inativos II-RJUSM</v>
      </c>
      <c r="F1175" t="str">
        <f>"R$ 1.100,00"</f>
        <v>R$ 1.100,00</v>
      </c>
      <c r="G1175" t="str">
        <f>"R$ 1.100,00"</f>
        <v>R$ 1.100,00</v>
      </c>
      <c r="H1175" t="str">
        <f t="shared" si="109"/>
        <v>R$ 0,00</v>
      </c>
      <c r="I1175" t="str">
        <f>"R$ 1.100,00"</f>
        <v>R$ 1.100,00</v>
      </c>
      <c r="J1175" t="str">
        <f>"R$ 329,05"</f>
        <v>R$ 329,05</v>
      </c>
      <c r="K1175" t="str">
        <f>"R$ 770,95"</f>
        <v>R$ 770,95</v>
      </c>
    </row>
    <row r="1176" spans="1:11" x14ac:dyDescent="0.25">
      <c r="A1176" t="str">
        <f>"00030546 / 1"</f>
        <v>00030546 / 1</v>
      </c>
      <c r="B1176" t="str">
        <f>"13° Salário Anual"</f>
        <v>13° Salário Anual</v>
      </c>
      <c r="C1176" t="str">
        <f>"Maria de Nazare Goncalves Pimentel"</f>
        <v>Maria de Nazare Goncalves Pimentel</v>
      </c>
      <c r="D1176" t="str">
        <f>"INT TEMP CONTRIBUICAO"</f>
        <v>INT TEMP CONTRIBUICAO</v>
      </c>
      <c r="E1176" t="str">
        <f t="shared" si="113"/>
        <v>Efetivo-Inativos II-RJUSM</v>
      </c>
      <c r="F1176" t="str">
        <f>"R$ 1.100,00"</f>
        <v>R$ 1.100,00</v>
      </c>
      <c r="G1176" t="str">
        <f>"R$ 1.430,00"</f>
        <v>R$ 1.430,00</v>
      </c>
      <c r="H1176" t="str">
        <f t="shared" si="109"/>
        <v>R$ 0,00</v>
      </c>
      <c r="I1176" t="str">
        <f>"R$ 1.430,00"</f>
        <v>R$ 1.430,00</v>
      </c>
      <c r="J1176" t="str">
        <f>"R$ 715,00"</f>
        <v>R$ 715,00</v>
      </c>
      <c r="K1176" t="str">
        <f>"R$ 715,00"</f>
        <v>R$ 715,00</v>
      </c>
    </row>
    <row r="1177" spans="1:11" x14ac:dyDescent="0.25">
      <c r="A1177" t="str">
        <f>"00030546 / 1"</f>
        <v>00030546 / 1</v>
      </c>
      <c r="B1177" t="str">
        <f>"Folha Mensal"</f>
        <v>Folha Mensal</v>
      </c>
      <c r="C1177" t="str">
        <f>"Maria de Nazare Goncalves Pimentel"</f>
        <v>Maria de Nazare Goncalves Pimentel</v>
      </c>
      <c r="D1177" t="str">
        <f>"INT TEMP CONTRIBUICAO"</f>
        <v>INT TEMP CONTRIBUICAO</v>
      </c>
      <c r="E1177" t="str">
        <f t="shared" si="113"/>
        <v>Efetivo-Inativos II-RJUSM</v>
      </c>
      <c r="F1177" t="str">
        <f>"R$ 1.100,00"</f>
        <v>R$ 1.100,00</v>
      </c>
      <c r="G1177" t="str">
        <f>"R$ 1.430,00"</f>
        <v>R$ 1.430,00</v>
      </c>
      <c r="H1177" t="str">
        <f t="shared" si="109"/>
        <v>R$ 0,00</v>
      </c>
      <c r="I1177" t="str">
        <f>"R$ 1.430,00"</f>
        <v>R$ 1.430,00</v>
      </c>
      <c r="J1177" t="str">
        <f>"R$ 499,03"</f>
        <v>R$ 499,03</v>
      </c>
      <c r="K1177" t="str">
        <f>"R$ 930,97"</f>
        <v>R$ 930,97</v>
      </c>
    </row>
    <row r="1178" spans="1:11" x14ac:dyDescent="0.25">
      <c r="A1178" t="str">
        <f>"00233161 / 1"</f>
        <v>00233161 / 1</v>
      </c>
      <c r="B1178" t="str">
        <f>"13° Salário Anual"</f>
        <v>13° Salário Anual</v>
      </c>
      <c r="C1178" t="str">
        <f>"Maria de Nazare Lopes Nascimento"</f>
        <v>Maria de Nazare Lopes Nascimento</v>
      </c>
      <c r="D1178" t="str">
        <f>"PROFESSOR NIVEL III"</f>
        <v>PROFESSOR NIVEL III</v>
      </c>
      <c r="E1178" t="str">
        <f t="shared" si="113"/>
        <v>Efetivo-Inativos II-RJUSM</v>
      </c>
      <c r="F1178" t="str">
        <f>"R$ 2.390,20"</f>
        <v>R$ 2.390,20</v>
      </c>
      <c r="G1178" t="str">
        <f>"R$ 2.509,71"</f>
        <v>R$ 2.509,71</v>
      </c>
      <c r="H1178" t="str">
        <f t="shared" si="109"/>
        <v>R$ 0,00</v>
      </c>
      <c r="I1178" t="str">
        <f>"R$ 2.509,71"</f>
        <v>R$ 2.509,71</v>
      </c>
      <c r="J1178" t="str">
        <f>"R$ 1.286,05"</f>
        <v>R$ 1.286,05</v>
      </c>
      <c r="K1178" t="str">
        <f>"R$ 1.223,66"</f>
        <v>R$ 1.223,66</v>
      </c>
    </row>
    <row r="1179" spans="1:11" x14ac:dyDescent="0.25">
      <c r="A1179" t="str">
        <f>"00233161 / 1"</f>
        <v>00233161 / 1</v>
      </c>
      <c r="B1179" t="str">
        <f>"Folha Mensal"</f>
        <v>Folha Mensal</v>
      </c>
      <c r="C1179" t="str">
        <f>"Maria de Nazare Lopes Nascimento"</f>
        <v>Maria de Nazare Lopes Nascimento</v>
      </c>
      <c r="D1179" t="str">
        <f>"PROFESSOR NIVEL III"</f>
        <v>PROFESSOR NIVEL III</v>
      </c>
      <c r="E1179" t="str">
        <f t="shared" si="113"/>
        <v>Efetivo-Inativos II-RJUSM</v>
      </c>
      <c r="F1179" t="str">
        <f>"R$ 2.390,20"</f>
        <v>R$ 2.390,20</v>
      </c>
      <c r="G1179" t="str">
        <f>"R$ 2.509,71"</f>
        <v>R$ 2.509,71</v>
      </c>
      <c r="H1179" t="str">
        <f t="shared" si="109"/>
        <v>R$ 0,00</v>
      </c>
      <c r="I1179" t="str">
        <f>"R$ 2.509,71"</f>
        <v>R$ 2.509,71</v>
      </c>
      <c r="J1179" t="str">
        <f>"R$ 31,20"</f>
        <v>R$ 31,20</v>
      </c>
      <c r="K1179" t="str">
        <f>"R$ 2.478,51"</f>
        <v>R$ 2.478,51</v>
      </c>
    </row>
    <row r="1180" spans="1:11" x14ac:dyDescent="0.25">
      <c r="A1180" t="str">
        <f>"00000973 / 1"</f>
        <v>00000973 / 1</v>
      </c>
      <c r="B1180" t="str">
        <f>"13° Salário Anual"</f>
        <v>13° Salário Anual</v>
      </c>
      <c r="C1180" t="str">
        <f>"Maria de Nazare Santos de Lima"</f>
        <v>Maria de Nazare Santos de Lima</v>
      </c>
      <c r="D1180" t="str">
        <f>"PROFESSOR"</f>
        <v>PROFESSOR</v>
      </c>
      <c r="E1180" t="str">
        <f>"Efetivo-Inativo I- RJUSM"</f>
        <v>Efetivo-Inativo I- RJUSM</v>
      </c>
      <c r="F1180" t="str">
        <f>"R$ 1.593,46"</f>
        <v>R$ 1.593,46</v>
      </c>
      <c r="G1180" t="str">
        <f>"R$ 1.991,82"</f>
        <v>R$ 1.991,82</v>
      </c>
      <c r="H1180" t="str">
        <f t="shared" si="109"/>
        <v>R$ 0,00</v>
      </c>
      <c r="I1180" t="str">
        <f>"R$ 1.991,82"</f>
        <v>R$ 1.991,82</v>
      </c>
      <c r="J1180" t="str">
        <f>"R$ 995,91"</f>
        <v>R$ 995,91</v>
      </c>
      <c r="K1180" t="str">
        <f>"R$ 995,91"</f>
        <v>R$ 995,91</v>
      </c>
    </row>
    <row r="1181" spans="1:11" x14ac:dyDescent="0.25">
      <c r="A1181" t="str">
        <f>"00000973 / 1"</f>
        <v>00000973 / 1</v>
      </c>
      <c r="B1181" t="str">
        <f>"Folha Mensal"</f>
        <v>Folha Mensal</v>
      </c>
      <c r="C1181" t="str">
        <f>"Maria de Nazare Santos de Lima"</f>
        <v>Maria de Nazare Santos de Lima</v>
      </c>
      <c r="D1181" t="str">
        <f>"PROFESSOR"</f>
        <v>PROFESSOR</v>
      </c>
      <c r="E1181" t="str">
        <f>"Efetivo-Inativo I- RJUSM"</f>
        <v>Efetivo-Inativo I- RJUSM</v>
      </c>
      <c r="F1181" t="str">
        <f>"R$ 1.593,46"</f>
        <v>R$ 1.593,46</v>
      </c>
      <c r="G1181" t="str">
        <f>"R$ 1.991,82"</f>
        <v>R$ 1.991,82</v>
      </c>
      <c r="H1181" t="str">
        <f t="shared" si="109"/>
        <v>R$ 0,00</v>
      </c>
      <c r="I1181" t="str">
        <f>"R$ 1.991,82"</f>
        <v>R$ 1.991,82</v>
      </c>
      <c r="J1181" t="str">
        <f>"R$ 0,00"</f>
        <v>R$ 0,00</v>
      </c>
      <c r="K1181" t="str">
        <f>"R$ 1.991,82"</f>
        <v>R$ 1.991,82</v>
      </c>
    </row>
    <row r="1182" spans="1:11" x14ac:dyDescent="0.25">
      <c r="A1182" t="str">
        <f>"00000221 / 1"</f>
        <v>00000221 / 1</v>
      </c>
      <c r="B1182" t="str">
        <f>"13° Salário Anual"</f>
        <v>13° Salário Anual</v>
      </c>
      <c r="C1182" t="str">
        <f>"Maria de Nazare Soares da Costa"</f>
        <v>Maria de Nazare Soares da Costa</v>
      </c>
      <c r="D1182" t="str">
        <f>"PROFESSOR PEDAGOGICO"</f>
        <v>PROFESSOR PEDAGOGICO</v>
      </c>
      <c r="E1182" t="str">
        <f>"Efetivo-Inativo I- RJUSM"</f>
        <v>Efetivo-Inativo I- RJUSM</v>
      </c>
      <c r="F1182" t="str">
        <f>"R$ 2.391,44"</f>
        <v>R$ 2.391,44</v>
      </c>
      <c r="G1182" t="str">
        <f>"R$ 2.391,44"</f>
        <v>R$ 2.391,44</v>
      </c>
      <c r="H1182" t="str">
        <f t="shared" si="109"/>
        <v>R$ 0,00</v>
      </c>
      <c r="I1182" t="str">
        <f>"R$ 2.391,44"</f>
        <v>R$ 2.391,44</v>
      </c>
      <c r="J1182" t="str">
        <f>"R$ 1.195,72"</f>
        <v>R$ 1.195,72</v>
      </c>
      <c r="K1182" t="str">
        <f>"R$ 1.195,72"</f>
        <v>R$ 1.195,72</v>
      </c>
    </row>
    <row r="1183" spans="1:11" x14ac:dyDescent="0.25">
      <c r="A1183" t="str">
        <f>"00000221 / 1"</f>
        <v>00000221 / 1</v>
      </c>
      <c r="B1183" t="str">
        <f>"Folha Mensal"</f>
        <v>Folha Mensal</v>
      </c>
      <c r="C1183" t="str">
        <f>"Maria de Nazare Soares da Costa"</f>
        <v>Maria de Nazare Soares da Costa</v>
      </c>
      <c r="D1183" t="str">
        <f>"PROFESSOR PEDAGOGICO"</f>
        <v>PROFESSOR PEDAGOGICO</v>
      </c>
      <c r="E1183" t="str">
        <f>"Efetivo-Inativo I- RJUSM"</f>
        <v>Efetivo-Inativo I- RJUSM</v>
      </c>
      <c r="F1183" t="str">
        <f>"R$ 2.391,44"</f>
        <v>R$ 2.391,44</v>
      </c>
      <c r="G1183" t="str">
        <f>"R$ 2.391,44"</f>
        <v>R$ 2.391,44</v>
      </c>
      <c r="H1183" t="str">
        <f t="shared" si="109"/>
        <v>R$ 0,00</v>
      </c>
      <c r="I1183" t="str">
        <f>"R$ 2.391,44"</f>
        <v>R$ 2.391,44</v>
      </c>
      <c r="J1183" t="str">
        <f>"R$ 712,16"</f>
        <v>R$ 712,16</v>
      </c>
      <c r="K1183" t="str">
        <f>"R$ 1.679,28"</f>
        <v>R$ 1.679,28</v>
      </c>
    </row>
    <row r="1184" spans="1:11" x14ac:dyDescent="0.25">
      <c r="A1184" t="str">
        <f>"00052507 / 1"</f>
        <v>00052507 / 1</v>
      </c>
      <c r="B1184" t="str">
        <f>"13° Salário Anual"</f>
        <v>13° Salário Anual</v>
      </c>
      <c r="C1184" t="str">
        <f>"Maria de Nazare Sousa de Lima"</f>
        <v>Maria de Nazare Sousa de Lima</v>
      </c>
      <c r="D1184" t="str">
        <f>"PROFESSOR NIVEL II"</f>
        <v>PROFESSOR NIVEL II</v>
      </c>
      <c r="E1184" t="str">
        <f>"Efetivo-Inativos II-RJUSM"</f>
        <v>Efetivo-Inativos II-RJUSM</v>
      </c>
      <c r="F1184" t="str">
        <f>"R$ 2.708,91"</f>
        <v>R$ 2.708,91</v>
      </c>
      <c r="G1184" t="str">
        <f>"R$ 3.386,13"</f>
        <v>R$ 3.386,13</v>
      </c>
      <c r="H1184" t="str">
        <f t="shared" si="109"/>
        <v>R$ 0,00</v>
      </c>
      <c r="I1184" t="str">
        <f>"R$ 3.386,13"</f>
        <v>R$ 3.386,13</v>
      </c>
      <c r="J1184" t="str">
        <f>"R$ 1.693,06"</f>
        <v>R$ 1.693,06</v>
      </c>
      <c r="K1184" t="str">
        <f>"R$ 1.693,07"</f>
        <v>R$ 1.693,07</v>
      </c>
    </row>
    <row r="1185" spans="1:11" x14ac:dyDescent="0.25">
      <c r="A1185" t="str">
        <f>"00052507 / 1"</f>
        <v>00052507 / 1</v>
      </c>
      <c r="B1185" t="str">
        <f>"Folha Mensal"</f>
        <v>Folha Mensal</v>
      </c>
      <c r="C1185" t="str">
        <f>"Maria de Nazare Sousa de Lima"</f>
        <v>Maria de Nazare Sousa de Lima</v>
      </c>
      <c r="D1185" t="str">
        <f>"PROFESSOR NIVEL II"</f>
        <v>PROFESSOR NIVEL II</v>
      </c>
      <c r="E1185" t="str">
        <f>"Efetivo-Inativos II-RJUSM"</f>
        <v>Efetivo-Inativos II-RJUSM</v>
      </c>
      <c r="F1185" t="str">
        <f>"R$ 2.708,91"</f>
        <v>R$ 2.708,91</v>
      </c>
      <c r="G1185" t="str">
        <f>"R$ 3.386,13"</f>
        <v>R$ 3.386,13</v>
      </c>
      <c r="H1185" t="str">
        <f t="shared" si="109"/>
        <v>R$ 0,00</v>
      </c>
      <c r="I1185" t="str">
        <f>"R$ 3.386,13"</f>
        <v>R$ 3.386,13</v>
      </c>
      <c r="J1185" t="str">
        <f>"R$ 0,00"</f>
        <v>R$ 0,00</v>
      </c>
      <c r="K1185" t="str">
        <f>"R$ 3.386,13"</f>
        <v>R$ 3.386,13</v>
      </c>
    </row>
    <row r="1186" spans="1:11" x14ac:dyDescent="0.25">
      <c r="A1186" t="str">
        <f>"00000906 / 1"</f>
        <v>00000906 / 1</v>
      </c>
      <c r="B1186" t="str">
        <f>"13° Salário Anual"</f>
        <v>13° Salário Anual</v>
      </c>
      <c r="C1186" t="str">
        <f>"Maria de Nazare Souza de Brito"</f>
        <v>Maria de Nazare Souza de Brito</v>
      </c>
      <c r="D1186" t="str">
        <f>"PROFESSOR"</f>
        <v>PROFESSOR</v>
      </c>
      <c r="E1186" t="str">
        <f t="shared" ref="E1186:E1191" si="114">"Efetivo-Inativo I- RJUSM"</f>
        <v>Efetivo-Inativo I- RJUSM</v>
      </c>
      <c r="F1186" t="str">
        <f>"R$ 1.593,49"</f>
        <v>R$ 1.593,49</v>
      </c>
      <c r="G1186" t="str">
        <f>"R$ 1.991,86"</f>
        <v>R$ 1.991,86</v>
      </c>
      <c r="H1186" t="str">
        <f t="shared" si="109"/>
        <v>R$ 0,00</v>
      </c>
      <c r="I1186" t="str">
        <f>"R$ 1.991,86"</f>
        <v>R$ 1.991,86</v>
      </c>
      <c r="J1186" t="str">
        <f>"R$ 995,93"</f>
        <v>R$ 995,93</v>
      </c>
      <c r="K1186" t="str">
        <f>"R$ 995,93"</f>
        <v>R$ 995,93</v>
      </c>
    </row>
    <row r="1187" spans="1:11" x14ac:dyDescent="0.25">
      <c r="A1187" t="str">
        <f>"00000906 / 1"</f>
        <v>00000906 / 1</v>
      </c>
      <c r="B1187" t="str">
        <f>"Folha Mensal"</f>
        <v>Folha Mensal</v>
      </c>
      <c r="C1187" t="str">
        <f>"Maria de Nazare Souza de Brito"</f>
        <v>Maria de Nazare Souza de Brito</v>
      </c>
      <c r="D1187" t="str">
        <f>"PROFESSOR"</f>
        <v>PROFESSOR</v>
      </c>
      <c r="E1187" t="str">
        <f t="shared" si="114"/>
        <v>Efetivo-Inativo I- RJUSM</v>
      </c>
      <c r="F1187" t="str">
        <f>"R$ 1.593,49"</f>
        <v>R$ 1.593,49</v>
      </c>
      <c r="G1187" t="str">
        <f>"R$ 1.991,86"</f>
        <v>R$ 1.991,86</v>
      </c>
      <c r="H1187" t="str">
        <f t="shared" si="109"/>
        <v>R$ 0,00</v>
      </c>
      <c r="I1187" t="str">
        <f>"R$ 1.991,86"</f>
        <v>R$ 1.991,86</v>
      </c>
      <c r="J1187" t="str">
        <f>"R$ 594,39"</f>
        <v>R$ 594,39</v>
      </c>
      <c r="K1187" t="str">
        <f>"R$ 1.397,47"</f>
        <v>R$ 1.397,47</v>
      </c>
    </row>
    <row r="1188" spans="1:11" x14ac:dyDescent="0.25">
      <c r="A1188" t="str">
        <f>"00024732 / 1"</f>
        <v>00024732 / 1</v>
      </c>
      <c r="B1188" t="str">
        <f>"13° Salário Anual"</f>
        <v>13° Salário Anual</v>
      </c>
      <c r="C1188" t="str">
        <f>"Maria de Nazare Trindade Barros"</f>
        <v>Maria de Nazare Trindade Barros</v>
      </c>
      <c r="D1188" t="str">
        <f>"PROFESSOR"</f>
        <v>PROFESSOR</v>
      </c>
      <c r="E1188" t="str">
        <f t="shared" si="114"/>
        <v>Efetivo-Inativo I- RJUSM</v>
      </c>
      <c r="F1188" t="str">
        <f>"R$ 1.593,46"</f>
        <v>R$ 1.593,46</v>
      </c>
      <c r="G1188" t="str">
        <f>"R$ 1.912,15"</f>
        <v>R$ 1.912,15</v>
      </c>
      <c r="H1188" t="str">
        <f t="shared" si="109"/>
        <v>R$ 0,00</v>
      </c>
      <c r="I1188" t="str">
        <f>"R$ 1.912,15"</f>
        <v>R$ 1.912,15</v>
      </c>
      <c r="J1188" t="str">
        <f>"R$ 956,07"</f>
        <v>R$ 956,07</v>
      </c>
      <c r="K1188" t="str">
        <f>"R$ 956,08"</f>
        <v>R$ 956,08</v>
      </c>
    </row>
    <row r="1189" spans="1:11" x14ac:dyDescent="0.25">
      <c r="A1189" t="str">
        <f>"00024732 / 1"</f>
        <v>00024732 / 1</v>
      </c>
      <c r="B1189" t="str">
        <f>"Folha Mensal"</f>
        <v>Folha Mensal</v>
      </c>
      <c r="C1189" t="str">
        <f>"Maria de Nazare Trindade Barros"</f>
        <v>Maria de Nazare Trindade Barros</v>
      </c>
      <c r="D1189" t="str">
        <f>"PROFESSOR"</f>
        <v>PROFESSOR</v>
      </c>
      <c r="E1189" t="str">
        <f t="shared" si="114"/>
        <v>Efetivo-Inativo I- RJUSM</v>
      </c>
      <c r="F1189" t="str">
        <f>"R$ 1.593,46"</f>
        <v>R$ 1.593,46</v>
      </c>
      <c r="G1189" t="str">
        <f>"R$ 1.912,15"</f>
        <v>R$ 1.912,15</v>
      </c>
      <c r="H1189" t="str">
        <f t="shared" si="109"/>
        <v>R$ 0,00</v>
      </c>
      <c r="I1189" t="str">
        <f>"R$ 1.912,15"</f>
        <v>R$ 1.912,15</v>
      </c>
      <c r="J1189" t="str">
        <f>"R$ 0,00"</f>
        <v>R$ 0,00</v>
      </c>
      <c r="K1189" t="str">
        <f>"R$ 1.912,15"</f>
        <v>R$ 1.912,15</v>
      </c>
    </row>
    <row r="1190" spans="1:11" x14ac:dyDescent="0.25">
      <c r="A1190" t="str">
        <f>"03643026 / 1"</f>
        <v>03643026 / 1</v>
      </c>
      <c r="B1190" t="str">
        <f>"13° Salário Anual"</f>
        <v>13° Salário Anual</v>
      </c>
      <c r="C1190" t="str">
        <f>"Maria de Nazare Vasconcelos de Lima"</f>
        <v>Maria de Nazare Vasconcelos de Lima</v>
      </c>
      <c r="D1190" t="str">
        <f>"INATIVO"</f>
        <v>INATIVO</v>
      </c>
      <c r="E1190" t="str">
        <f t="shared" si="114"/>
        <v>Efetivo-Inativo I- RJUSM</v>
      </c>
      <c r="F1190" t="str">
        <f>"R$ 1.100,00"</f>
        <v>R$ 1.100,00</v>
      </c>
      <c r="G1190" t="str">
        <f>"R$ 1.155,00"</f>
        <v>R$ 1.155,00</v>
      </c>
      <c r="H1190" t="str">
        <f t="shared" si="109"/>
        <v>R$ 0,00</v>
      </c>
      <c r="I1190" t="str">
        <f>"R$ 1.155,00"</f>
        <v>R$ 1.155,00</v>
      </c>
      <c r="J1190" t="str">
        <f>"R$ 577,50"</f>
        <v>R$ 577,50</v>
      </c>
      <c r="K1190" t="str">
        <f>"R$ 577,50"</f>
        <v>R$ 577,50</v>
      </c>
    </row>
    <row r="1191" spans="1:11" x14ac:dyDescent="0.25">
      <c r="A1191" t="str">
        <f>"03643026 / 1"</f>
        <v>03643026 / 1</v>
      </c>
      <c r="B1191" t="str">
        <f>"Folha Mensal"</f>
        <v>Folha Mensal</v>
      </c>
      <c r="C1191" t="str">
        <f>"Maria de Nazare Vasconcelos de Lima"</f>
        <v>Maria de Nazare Vasconcelos de Lima</v>
      </c>
      <c r="D1191" t="str">
        <f>"INATIVO"</f>
        <v>INATIVO</v>
      </c>
      <c r="E1191" t="str">
        <f t="shared" si="114"/>
        <v>Efetivo-Inativo I- RJUSM</v>
      </c>
      <c r="F1191" t="str">
        <f>"R$ 1.100,00"</f>
        <v>R$ 1.100,00</v>
      </c>
      <c r="G1191" t="str">
        <f>"R$ 1.155,00"</f>
        <v>R$ 1.155,00</v>
      </c>
      <c r="H1191" t="str">
        <f t="shared" si="109"/>
        <v>R$ 0,00</v>
      </c>
      <c r="I1191" t="str">
        <f>"R$ 1.155,00"</f>
        <v>R$ 1.155,00</v>
      </c>
      <c r="J1191" t="str">
        <f>"R$ 341,60"</f>
        <v>R$ 341,60</v>
      </c>
      <c r="K1191" t="str">
        <f>"R$ 813,40"</f>
        <v>R$ 813,40</v>
      </c>
    </row>
    <row r="1192" spans="1:11" x14ac:dyDescent="0.25">
      <c r="A1192" t="str">
        <f>"00053252 / 1"</f>
        <v>00053252 / 1</v>
      </c>
      <c r="B1192" t="str">
        <f>"13° Salário Anual"</f>
        <v>13° Salário Anual</v>
      </c>
      <c r="C1192" t="str">
        <f>"Maria de Nazareth Passos dos Santos"</f>
        <v>Maria de Nazareth Passos dos Santos</v>
      </c>
      <c r="D1192" t="str">
        <f>"PROFESSOR NIVEL II"</f>
        <v>PROFESSOR NIVEL II</v>
      </c>
      <c r="E1192" t="str">
        <f>"Efetivo-Inativos II-RJUSM"</f>
        <v>Efetivo-Inativos II-RJUSM</v>
      </c>
      <c r="F1192" t="str">
        <f>"R$ 5.099,09"</f>
        <v>R$ 5.099,09</v>
      </c>
      <c r="G1192" t="str">
        <f>"R$ 6.118,90"</f>
        <v>R$ 6.118,90</v>
      </c>
      <c r="H1192" t="str">
        <f t="shared" si="109"/>
        <v>R$ 0,00</v>
      </c>
      <c r="I1192" t="str">
        <f>"R$ 6.118,90"</f>
        <v>R$ 6.118,90</v>
      </c>
      <c r="J1192" t="str">
        <f>"R$ 3.288,29"</f>
        <v>R$ 3.288,29</v>
      </c>
      <c r="K1192" t="str">
        <f>"R$ 2.830,61"</f>
        <v>R$ 2.830,61</v>
      </c>
    </row>
    <row r="1193" spans="1:11" x14ac:dyDescent="0.25">
      <c r="A1193" t="str">
        <f>"00053252 / 1"</f>
        <v>00053252 / 1</v>
      </c>
      <c r="B1193" t="str">
        <f>"Folha Mensal"</f>
        <v>Folha Mensal</v>
      </c>
      <c r="C1193" t="str">
        <f>"Maria de Nazareth Passos dos Santos"</f>
        <v>Maria de Nazareth Passos dos Santos</v>
      </c>
      <c r="D1193" t="str">
        <f>"PROFESSOR NIVEL II"</f>
        <v>PROFESSOR NIVEL II</v>
      </c>
      <c r="E1193" t="str">
        <f>"Efetivo-Inativos II-RJUSM"</f>
        <v>Efetivo-Inativos II-RJUSM</v>
      </c>
      <c r="F1193" t="str">
        <f>"R$ 5.099,09"</f>
        <v>R$ 5.099,09</v>
      </c>
      <c r="G1193" t="str">
        <f>"R$ 6.118,90"</f>
        <v>R$ 6.118,90</v>
      </c>
      <c r="H1193" t="str">
        <f t="shared" si="109"/>
        <v>R$ 0,00</v>
      </c>
      <c r="I1193" t="str">
        <f>"R$ 6.118,90"</f>
        <v>R$ 6.118,90</v>
      </c>
      <c r="J1193" t="str">
        <f>"R$ 1.613,60"</f>
        <v>R$ 1.613,60</v>
      </c>
      <c r="K1193" t="str">
        <f>"R$ 4.505,30"</f>
        <v>R$ 4.505,30</v>
      </c>
    </row>
    <row r="1194" spans="1:11" x14ac:dyDescent="0.25">
      <c r="A1194" t="str">
        <f>"00025607 / 2"</f>
        <v>00025607 / 2</v>
      </c>
      <c r="B1194" t="str">
        <f>"13° Salário Anual"</f>
        <v>13° Salário Anual</v>
      </c>
      <c r="C1194" t="str">
        <f>"Maria Deuzarina Rodrigues"</f>
        <v>Maria Deuzarina Rodrigues</v>
      </c>
      <c r="D1194" t="str">
        <f>"PROFESSOR PEDAGOGICO"</f>
        <v>PROFESSOR PEDAGOGICO</v>
      </c>
      <c r="E1194" t="str">
        <f t="shared" ref="E1194:E1209" si="115">"Efetivo-Inativo I- RJUSM"</f>
        <v>Efetivo-Inativo I- RJUSM</v>
      </c>
      <c r="F1194" t="str">
        <f>"R$ 2.216,91"</f>
        <v>R$ 2.216,91</v>
      </c>
      <c r="G1194" t="str">
        <f>"R$ 2.216,91"</f>
        <v>R$ 2.216,91</v>
      </c>
      <c r="H1194" t="str">
        <f t="shared" si="109"/>
        <v>R$ 0,00</v>
      </c>
      <c r="I1194" t="str">
        <f>"R$ 2.216,91"</f>
        <v>R$ 2.216,91</v>
      </c>
      <c r="J1194" t="str">
        <f>"R$ 1.131,91"</f>
        <v>R$ 1.131,91</v>
      </c>
      <c r="K1194" t="str">
        <f>"R$ 1.085,00"</f>
        <v>R$ 1.085,00</v>
      </c>
    </row>
    <row r="1195" spans="1:11" x14ac:dyDescent="0.25">
      <c r="A1195" t="str">
        <f>"00025607 / 2"</f>
        <v>00025607 / 2</v>
      </c>
      <c r="B1195" t="str">
        <f>"Folha Mensal"</f>
        <v>Folha Mensal</v>
      </c>
      <c r="C1195" t="str">
        <f>"Maria Deuzarina Rodrigues"</f>
        <v>Maria Deuzarina Rodrigues</v>
      </c>
      <c r="D1195" t="str">
        <f>"PROFESSOR PEDAGOGICO"</f>
        <v>PROFESSOR PEDAGOGICO</v>
      </c>
      <c r="E1195" t="str">
        <f t="shared" si="115"/>
        <v>Efetivo-Inativo I- RJUSM</v>
      </c>
      <c r="F1195" t="str">
        <f>"R$ 2.216,91"</f>
        <v>R$ 2.216,91</v>
      </c>
      <c r="G1195" t="str">
        <f>"R$ 2.216,91"</f>
        <v>R$ 2.216,91</v>
      </c>
      <c r="H1195" t="str">
        <f t="shared" si="109"/>
        <v>R$ 0,00</v>
      </c>
      <c r="I1195" t="str">
        <f>"R$ 2.216,91"</f>
        <v>R$ 2.216,91</v>
      </c>
      <c r="J1195" t="str">
        <f>"R$ 675,46"</f>
        <v>R$ 675,46</v>
      </c>
      <c r="K1195" t="str">
        <f>"R$ 1.541,45"</f>
        <v>R$ 1.541,45</v>
      </c>
    </row>
    <row r="1196" spans="1:11" x14ac:dyDescent="0.25">
      <c r="A1196" t="str">
        <f>"00053341 / 1"</f>
        <v>00053341 / 1</v>
      </c>
      <c r="B1196" t="str">
        <f>"13° Salário Anual"</f>
        <v>13° Salário Anual</v>
      </c>
      <c r="C1196" t="str">
        <f>"Maria Dias Goncalves"</f>
        <v>Maria Dias Goncalves</v>
      </c>
      <c r="D1196" t="str">
        <f t="shared" ref="D1196:D1207" si="116">"PROFESSOR"</f>
        <v>PROFESSOR</v>
      </c>
      <c r="E1196" t="str">
        <f t="shared" si="115"/>
        <v>Efetivo-Inativo I- RJUSM</v>
      </c>
      <c r="F1196" t="str">
        <f>"R$ 4.461,70"</f>
        <v>R$ 4.461,70</v>
      </c>
      <c r="G1196" t="str">
        <f>"R$ 7.807,97"</f>
        <v>R$ 7.807,97</v>
      </c>
      <c r="H1196" t="str">
        <f t="shared" si="109"/>
        <v>R$ 0,00</v>
      </c>
      <c r="I1196" t="str">
        <f>"R$ 7.807,97"</f>
        <v>R$ 7.807,97</v>
      </c>
      <c r="J1196" t="str">
        <f>"R$ 3.808,32"</f>
        <v>R$ 3.808,32</v>
      </c>
      <c r="K1196" t="str">
        <f>"R$ 3.999,65"</f>
        <v>R$ 3.999,65</v>
      </c>
    </row>
    <row r="1197" spans="1:11" x14ac:dyDescent="0.25">
      <c r="A1197" t="str">
        <f>"00053341 / 1"</f>
        <v>00053341 / 1</v>
      </c>
      <c r="B1197" t="str">
        <f>"Folha Mensal"</f>
        <v>Folha Mensal</v>
      </c>
      <c r="C1197" t="str">
        <f>"Maria Dias Goncalves"</f>
        <v>Maria Dias Goncalves</v>
      </c>
      <c r="D1197" t="str">
        <f t="shared" si="116"/>
        <v>PROFESSOR</v>
      </c>
      <c r="E1197" t="str">
        <f t="shared" si="115"/>
        <v>Efetivo-Inativo I- RJUSM</v>
      </c>
      <c r="F1197" t="str">
        <f>"R$ 4.461,70"</f>
        <v>R$ 4.461,70</v>
      </c>
      <c r="G1197" t="str">
        <f>"R$ 7.807,97"</f>
        <v>R$ 7.807,97</v>
      </c>
      <c r="H1197" t="str">
        <f t="shared" si="109"/>
        <v>R$ 0,00</v>
      </c>
      <c r="I1197" t="str">
        <f>"R$ 7.807,97"</f>
        <v>R$ 7.807,97</v>
      </c>
      <c r="J1197" t="str">
        <f>"R$ 2.469,66"</f>
        <v>R$ 2.469,66</v>
      </c>
      <c r="K1197" t="str">
        <f>"R$ 5.338,31"</f>
        <v>R$ 5.338,31</v>
      </c>
    </row>
    <row r="1198" spans="1:11" x14ac:dyDescent="0.25">
      <c r="A1198" t="str">
        <f>"00023930 / 1"</f>
        <v>00023930 / 1</v>
      </c>
      <c r="B1198" t="str">
        <f>"13° Salário Anual"</f>
        <v>13° Salário Anual</v>
      </c>
      <c r="C1198" t="str">
        <f>"Maria do Amparo Lima de Almeida Damasceno"</f>
        <v>Maria do Amparo Lima de Almeida Damasceno</v>
      </c>
      <c r="D1198" t="str">
        <f t="shared" si="116"/>
        <v>PROFESSOR</v>
      </c>
      <c r="E1198" t="str">
        <f t="shared" si="115"/>
        <v>Efetivo-Inativo I- RJUSM</v>
      </c>
      <c r="F1198" t="str">
        <f>"R$ 1.593,46"</f>
        <v>R$ 1.593,46</v>
      </c>
      <c r="G1198" t="str">
        <f>"R$ 1.991,82"</f>
        <v>R$ 1.991,82</v>
      </c>
      <c r="H1198" t="str">
        <f t="shared" si="109"/>
        <v>R$ 0,00</v>
      </c>
      <c r="I1198" t="str">
        <f>"R$ 1.991,82"</f>
        <v>R$ 1.991,82</v>
      </c>
      <c r="J1198" t="str">
        <f>"R$ 995,91"</f>
        <v>R$ 995,91</v>
      </c>
      <c r="K1198" t="str">
        <f>"R$ 995,91"</f>
        <v>R$ 995,91</v>
      </c>
    </row>
    <row r="1199" spans="1:11" x14ac:dyDescent="0.25">
      <c r="A1199" t="str">
        <f>"00023930 / 1"</f>
        <v>00023930 / 1</v>
      </c>
      <c r="B1199" t="str">
        <f>"Folha Mensal"</f>
        <v>Folha Mensal</v>
      </c>
      <c r="C1199" t="str">
        <f>"Maria do Amparo Lima de Almeida Damasceno"</f>
        <v>Maria do Amparo Lima de Almeida Damasceno</v>
      </c>
      <c r="D1199" t="str">
        <f t="shared" si="116"/>
        <v>PROFESSOR</v>
      </c>
      <c r="E1199" t="str">
        <f t="shared" si="115"/>
        <v>Efetivo-Inativo I- RJUSM</v>
      </c>
      <c r="F1199" t="str">
        <f>"R$ 1.593,46"</f>
        <v>R$ 1.593,46</v>
      </c>
      <c r="G1199" t="str">
        <f>"R$ 1.991,82"</f>
        <v>R$ 1.991,82</v>
      </c>
      <c r="H1199" t="str">
        <f t="shared" si="109"/>
        <v>R$ 0,00</v>
      </c>
      <c r="I1199" t="str">
        <f>"R$ 1.991,82"</f>
        <v>R$ 1.991,82</v>
      </c>
      <c r="J1199" t="str">
        <f>"R$ 596,17"</f>
        <v>R$ 596,17</v>
      </c>
      <c r="K1199" t="str">
        <f>"R$ 1.395,65"</f>
        <v>R$ 1.395,65</v>
      </c>
    </row>
    <row r="1200" spans="1:11" x14ac:dyDescent="0.25">
      <c r="A1200" t="str">
        <f>"00006602 / 1"</f>
        <v>00006602 / 1</v>
      </c>
      <c r="B1200" t="str">
        <f>"13° Salário Anual"</f>
        <v>13° Salário Anual</v>
      </c>
      <c r="C1200" t="str">
        <f>"Maria do Amparo Rodrigues de Andrade"</f>
        <v>Maria do Amparo Rodrigues de Andrade</v>
      </c>
      <c r="D1200" t="str">
        <f t="shared" si="116"/>
        <v>PROFESSOR</v>
      </c>
      <c r="E1200" t="str">
        <f t="shared" si="115"/>
        <v>Efetivo-Inativo I- RJUSM</v>
      </c>
      <c r="F1200" t="str">
        <f>"R$ 2.230,85"</f>
        <v>R$ 2.230,85</v>
      </c>
      <c r="G1200" t="str">
        <f>"R$ 2.788,56"</f>
        <v>R$ 2.788,56</v>
      </c>
      <c r="H1200" t="str">
        <f t="shared" si="109"/>
        <v>R$ 0,00</v>
      </c>
      <c r="I1200" t="str">
        <f>"R$ 2.788,56"</f>
        <v>R$ 2.788,56</v>
      </c>
      <c r="J1200" t="str">
        <f>"R$ 1.394,28"</f>
        <v>R$ 1.394,28</v>
      </c>
      <c r="K1200" t="str">
        <f>"R$ 1.394,28"</f>
        <v>R$ 1.394,28</v>
      </c>
    </row>
    <row r="1201" spans="1:11" x14ac:dyDescent="0.25">
      <c r="A1201" t="str">
        <f>"00006602 / 1"</f>
        <v>00006602 / 1</v>
      </c>
      <c r="B1201" t="str">
        <f>"Folha Mensal"</f>
        <v>Folha Mensal</v>
      </c>
      <c r="C1201" t="str">
        <f>"Maria do Amparo Rodrigues de Andrade"</f>
        <v>Maria do Amparo Rodrigues de Andrade</v>
      </c>
      <c r="D1201" t="str">
        <f t="shared" si="116"/>
        <v>PROFESSOR</v>
      </c>
      <c r="E1201" t="str">
        <f t="shared" si="115"/>
        <v>Efetivo-Inativo I- RJUSM</v>
      </c>
      <c r="F1201" t="str">
        <f>"R$ 2.230,85"</f>
        <v>R$ 2.230,85</v>
      </c>
      <c r="G1201" t="str">
        <f>"R$ 2.788,56"</f>
        <v>R$ 2.788,56</v>
      </c>
      <c r="H1201" t="str">
        <f t="shared" si="109"/>
        <v>R$ 0,00</v>
      </c>
      <c r="I1201" t="str">
        <f>"R$ 2.788,56"</f>
        <v>R$ 2.788,56</v>
      </c>
      <c r="J1201" t="str">
        <f>"R$ 0,00"</f>
        <v>R$ 0,00</v>
      </c>
      <c r="K1201" t="str">
        <f>"R$ 2.788,56"</f>
        <v>R$ 2.788,56</v>
      </c>
    </row>
    <row r="1202" spans="1:11" x14ac:dyDescent="0.25">
      <c r="A1202" t="str">
        <f>"00002658 / 2"</f>
        <v>00002658 / 2</v>
      </c>
      <c r="B1202" t="str">
        <f>"13° Salário Anual"</f>
        <v>13° Salário Anual</v>
      </c>
      <c r="C1202" t="str">
        <f>"Maria do Carmo da Silva Cardoso"</f>
        <v>Maria do Carmo da Silva Cardoso</v>
      </c>
      <c r="D1202" t="str">
        <f t="shared" si="116"/>
        <v>PROFESSOR</v>
      </c>
      <c r="E1202" t="str">
        <f t="shared" si="115"/>
        <v>Efetivo-Inativo I- RJUSM</v>
      </c>
      <c r="F1202" t="str">
        <f>"R$ 2.071,51"</f>
        <v>R$ 2.071,51</v>
      </c>
      <c r="G1202" t="str">
        <f>"R$ 2.589,38"</f>
        <v>R$ 2.589,38</v>
      </c>
      <c r="H1202" t="str">
        <f t="shared" ref="H1202:H1265" si="117">"R$ 0,00"</f>
        <v>R$ 0,00</v>
      </c>
      <c r="I1202" t="str">
        <f>"R$ 2.589,38"</f>
        <v>R$ 2.589,38</v>
      </c>
      <c r="J1202" t="str">
        <f>"R$ 1.331,87"</f>
        <v>R$ 1.331,87</v>
      </c>
      <c r="K1202" t="str">
        <f>"R$ 1.257,51"</f>
        <v>R$ 1.257,51</v>
      </c>
    </row>
    <row r="1203" spans="1:11" x14ac:dyDescent="0.25">
      <c r="A1203" t="str">
        <f>"00002658 / 2"</f>
        <v>00002658 / 2</v>
      </c>
      <c r="B1203" t="str">
        <f>"Folha Mensal"</f>
        <v>Folha Mensal</v>
      </c>
      <c r="C1203" t="str">
        <f>"Maria do Carmo da Silva Cardoso"</f>
        <v>Maria do Carmo da Silva Cardoso</v>
      </c>
      <c r="D1203" t="str">
        <f t="shared" si="116"/>
        <v>PROFESSOR</v>
      </c>
      <c r="E1203" t="str">
        <f t="shared" si="115"/>
        <v>Efetivo-Inativo I- RJUSM</v>
      </c>
      <c r="F1203" t="str">
        <f>"R$ 2.071,51"</f>
        <v>R$ 2.071,51</v>
      </c>
      <c r="G1203" t="str">
        <f>"R$ 2.589,38"</f>
        <v>R$ 2.589,38</v>
      </c>
      <c r="H1203" t="str">
        <f t="shared" si="117"/>
        <v>R$ 0,00</v>
      </c>
      <c r="I1203" t="str">
        <f>"R$ 2.589,38"</f>
        <v>R$ 2.589,38</v>
      </c>
      <c r="J1203" t="str">
        <f>"R$ 562,48"</f>
        <v>R$ 562,48</v>
      </c>
      <c r="K1203" t="str">
        <f>"R$ 2.026,90"</f>
        <v>R$ 2.026,90</v>
      </c>
    </row>
    <row r="1204" spans="1:11" x14ac:dyDescent="0.25">
      <c r="A1204" t="str">
        <f>"00023957 / 1"</f>
        <v>00023957 / 1</v>
      </c>
      <c r="B1204" t="str">
        <f>"13° Salário Anual"</f>
        <v>13° Salário Anual</v>
      </c>
      <c r="C1204" t="str">
        <f>"Maria do Carmo de Araújo Mesquita"</f>
        <v>Maria do Carmo de Araújo Mesquita</v>
      </c>
      <c r="D1204" t="str">
        <f t="shared" si="116"/>
        <v>PROFESSOR</v>
      </c>
      <c r="E1204" t="str">
        <f t="shared" si="115"/>
        <v>Efetivo-Inativo I- RJUSM</v>
      </c>
      <c r="F1204" t="str">
        <f>"R$ 1.593,46"</f>
        <v>R$ 1.593,46</v>
      </c>
      <c r="G1204" t="str">
        <f>"R$ 1.991,82"</f>
        <v>R$ 1.991,82</v>
      </c>
      <c r="H1204" t="str">
        <f t="shared" si="117"/>
        <v>R$ 0,00</v>
      </c>
      <c r="I1204" t="str">
        <f>"R$ 1.991,82"</f>
        <v>R$ 1.991,82</v>
      </c>
      <c r="J1204" t="str">
        <f>"R$ 1.002,49"</f>
        <v>R$ 1.002,49</v>
      </c>
      <c r="K1204" t="str">
        <f>"R$ 989,33"</f>
        <v>R$ 989,33</v>
      </c>
    </row>
    <row r="1205" spans="1:11" x14ac:dyDescent="0.25">
      <c r="A1205" t="str">
        <f>"00023957 / 1"</f>
        <v>00023957 / 1</v>
      </c>
      <c r="B1205" t="str">
        <f>"Folha Mensal"</f>
        <v>Folha Mensal</v>
      </c>
      <c r="C1205" t="str">
        <f>"Maria do Carmo de Araújo Mesquita"</f>
        <v>Maria do Carmo de Araújo Mesquita</v>
      </c>
      <c r="D1205" t="str">
        <f t="shared" si="116"/>
        <v>PROFESSOR</v>
      </c>
      <c r="E1205" t="str">
        <f t="shared" si="115"/>
        <v>Efetivo-Inativo I- RJUSM</v>
      </c>
      <c r="F1205" t="str">
        <f>"R$ 1.593,46"</f>
        <v>R$ 1.593,46</v>
      </c>
      <c r="G1205" t="str">
        <f>"R$ 1.991,82"</f>
        <v>R$ 1.991,82</v>
      </c>
      <c r="H1205" t="str">
        <f t="shared" si="117"/>
        <v>R$ 0,00</v>
      </c>
      <c r="I1205" t="str">
        <f>"R$ 1.991,82"</f>
        <v>R$ 1.991,82</v>
      </c>
      <c r="J1205" t="str">
        <f>"R$ 6,58"</f>
        <v>R$ 6,58</v>
      </c>
      <c r="K1205" t="str">
        <f>"R$ 1.985,24"</f>
        <v>R$ 1.985,24</v>
      </c>
    </row>
    <row r="1206" spans="1:11" x14ac:dyDescent="0.25">
      <c r="A1206" t="str">
        <f>"00023680 / 1"</f>
        <v>00023680 / 1</v>
      </c>
      <c r="B1206" t="str">
        <f>"13° Salário Anual"</f>
        <v>13° Salário Anual</v>
      </c>
      <c r="C1206" t="str">
        <f>"Maria do Carmo Monteiro Maia"</f>
        <v>Maria do Carmo Monteiro Maia</v>
      </c>
      <c r="D1206" t="str">
        <f t="shared" si="116"/>
        <v>PROFESSOR</v>
      </c>
      <c r="E1206" t="str">
        <f t="shared" si="115"/>
        <v>Efetivo-Inativo I- RJUSM</v>
      </c>
      <c r="F1206" t="str">
        <f>"R$ 1.593,46"</f>
        <v>R$ 1.593,46</v>
      </c>
      <c r="G1206" t="str">
        <f>"R$ 1.991,82"</f>
        <v>R$ 1.991,82</v>
      </c>
      <c r="H1206" t="str">
        <f t="shared" si="117"/>
        <v>R$ 0,00</v>
      </c>
      <c r="I1206" t="str">
        <f>"R$ 1.991,82"</f>
        <v>R$ 1.991,82</v>
      </c>
      <c r="J1206" t="str">
        <f>"R$ 995,91"</f>
        <v>R$ 995,91</v>
      </c>
      <c r="K1206" t="str">
        <f>"R$ 995,91"</f>
        <v>R$ 995,91</v>
      </c>
    </row>
    <row r="1207" spans="1:11" x14ac:dyDescent="0.25">
      <c r="A1207" t="str">
        <f>"00023680 / 1"</f>
        <v>00023680 / 1</v>
      </c>
      <c r="B1207" t="str">
        <f>"Folha Mensal"</f>
        <v>Folha Mensal</v>
      </c>
      <c r="C1207" t="str">
        <f>"Maria do Carmo Monteiro Maia"</f>
        <v>Maria do Carmo Monteiro Maia</v>
      </c>
      <c r="D1207" t="str">
        <f t="shared" si="116"/>
        <v>PROFESSOR</v>
      </c>
      <c r="E1207" t="str">
        <f t="shared" si="115"/>
        <v>Efetivo-Inativo I- RJUSM</v>
      </c>
      <c r="F1207" t="str">
        <f>"R$ 1.593,46"</f>
        <v>R$ 1.593,46</v>
      </c>
      <c r="G1207" t="str">
        <f>"R$ 1.991,82"</f>
        <v>R$ 1.991,82</v>
      </c>
      <c r="H1207" t="str">
        <f t="shared" si="117"/>
        <v>R$ 0,00</v>
      </c>
      <c r="I1207" t="str">
        <f>"R$ 1.991,82"</f>
        <v>R$ 1.991,82</v>
      </c>
      <c r="J1207" t="str">
        <f>"R$ 389,35"</f>
        <v>R$ 389,35</v>
      </c>
      <c r="K1207" t="str">
        <f>"R$ 1.602,47"</f>
        <v>R$ 1.602,47</v>
      </c>
    </row>
    <row r="1208" spans="1:11" x14ac:dyDescent="0.25">
      <c r="A1208" t="str">
        <f>"00002160 / 1"</f>
        <v>00002160 / 1</v>
      </c>
      <c r="B1208" t="str">
        <f>"13° Salário Anual"</f>
        <v>13° Salário Anual</v>
      </c>
      <c r="C1208" t="str">
        <f>"Maria do Carmo Santos Pinheiro"</f>
        <v>Maria do Carmo Santos Pinheiro</v>
      </c>
      <c r="D1208" t="str">
        <f>"PROP TEMP SERVICO"</f>
        <v>PROP TEMP SERVICO</v>
      </c>
      <c r="E1208" t="str">
        <f t="shared" si="115"/>
        <v>Efetivo-Inativo I- RJUSM</v>
      </c>
      <c r="F1208" t="str">
        <f>"R$ 1.100,00"</f>
        <v>R$ 1.100,00</v>
      </c>
      <c r="G1208" t="str">
        <f>"R$ 1.100,00"</f>
        <v>R$ 1.100,00</v>
      </c>
      <c r="H1208" t="str">
        <f t="shared" si="117"/>
        <v>R$ 0,00</v>
      </c>
      <c r="I1208" t="str">
        <f>"R$ 1.100,00"</f>
        <v>R$ 1.100,00</v>
      </c>
      <c r="J1208" t="str">
        <f>"R$ 550,00"</f>
        <v>R$ 550,00</v>
      </c>
      <c r="K1208" t="str">
        <f>"R$ 550,00"</f>
        <v>R$ 550,00</v>
      </c>
    </row>
    <row r="1209" spans="1:11" x14ac:dyDescent="0.25">
      <c r="A1209" t="str">
        <f>"00002160 / 1"</f>
        <v>00002160 / 1</v>
      </c>
      <c r="B1209" t="str">
        <f>"Folha Mensal"</f>
        <v>Folha Mensal</v>
      </c>
      <c r="C1209" t="str">
        <f>"Maria do Carmo Santos Pinheiro"</f>
        <v>Maria do Carmo Santos Pinheiro</v>
      </c>
      <c r="D1209" t="str">
        <f>"PROP TEMP SERVICO"</f>
        <v>PROP TEMP SERVICO</v>
      </c>
      <c r="E1209" t="str">
        <f t="shared" si="115"/>
        <v>Efetivo-Inativo I- RJUSM</v>
      </c>
      <c r="F1209" t="str">
        <f>"R$ 1.100,00"</f>
        <v>R$ 1.100,00</v>
      </c>
      <c r="G1209" t="str">
        <f>"R$ 1.100,00"</f>
        <v>R$ 1.100,00</v>
      </c>
      <c r="H1209" t="str">
        <f t="shared" si="117"/>
        <v>R$ 0,00</v>
      </c>
      <c r="I1209" t="str">
        <f>"R$ 1.100,00"</f>
        <v>R$ 1.100,00</v>
      </c>
      <c r="J1209" t="str">
        <f>"R$ 0,00"</f>
        <v>R$ 0,00</v>
      </c>
      <c r="K1209" t="str">
        <f>"R$ 1.100,00"</f>
        <v>R$ 1.100,00</v>
      </c>
    </row>
    <row r="1210" spans="1:11" x14ac:dyDescent="0.25">
      <c r="A1210" t="str">
        <f>"00052477 / 2"</f>
        <v>00052477 / 2</v>
      </c>
      <c r="B1210" t="str">
        <f>"13° Salário Anual"</f>
        <v>13° Salário Anual</v>
      </c>
      <c r="C1210" t="str">
        <f>"Maria do Carmo Souza dos Santos"</f>
        <v>Maria do Carmo Souza dos Santos</v>
      </c>
      <c r="D1210" t="str">
        <f>"PROFESSOR NIVEL II"</f>
        <v>PROFESSOR NIVEL II</v>
      </c>
      <c r="E1210" t="str">
        <f>"Efetivo-Inativos II-RJUSM"</f>
        <v>Efetivo-Inativos II-RJUSM</v>
      </c>
      <c r="F1210" t="str">
        <f>"R$ 2.549,55"</f>
        <v>R$ 2.549,55</v>
      </c>
      <c r="G1210" t="str">
        <f>"R$ 3.059,46"</f>
        <v>R$ 3.059,46</v>
      </c>
      <c r="H1210" t="str">
        <f t="shared" si="117"/>
        <v>R$ 0,00</v>
      </c>
      <c r="I1210" t="str">
        <f>"R$ 3.059,46"</f>
        <v>R$ 3.059,46</v>
      </c>
      <c r="J1210" t="str">
        <f>"R$ 1.529,73"</f>
        <v>R$ 1.529,73</v>
      </c>
      <c r="K1210" t="str">
        <f>"R$ 1.529,73"</f>
        <v>R$ 1.529,73</v>
      </c>
    </row>
    <row r="1211" spans="1:11" x14ac:dyDescent="0.25">
      <c r="A1211" t="str">
        <f>"00052477 / 2"</f>
        <v>00052477 / 2</v>
      </c>
      <c r="B1211" t="str">
        <f>"Folha Mensal"</f>
        <v>Folha Mensal</v>
      </c>
      <c r="C1211" t="str">
        <f>"Maria do Carmo Souza dos Santos"</f>
        <v>Maria do Carmo Souza dos Santos</v>
      </c>
      <c r="D1211" t="str">
        <f>"PROFESSOR NIVEL II"</f>
        <v>PROFESSOR NIVEL II</v>
      </c>
      <c r="E1211" t="str">
        <f>"Efetivo-Inativos II-RJUSM"</f>
        <v>Efetivo-Inativos II-RJUSM</v>
      </c>
      <c r="F1211" t="str">
        <f>"R$ 2.549,55"</f>
        <v>R$ 2.549,55</v>
      </c>
      <c r="G1211" t="str">
        <f>"R$ 3.059,46"</f>
        <v>R$ 3.059,46</v>
      </c>
      <c r="H1211" t="str">
        <f t="shared" si="117"/>
        <v>R$ 0,00</v>
      </c>
      <c r="I1211" t="str">
        <f>"R$ 3.059,46"</f>
        <v>R$ 3.059,46</v>
      </c>
      <c r="J1211" t="str">
        <f>"R$ 1.068,30"</f>
        <v>R$ 1.068,30</v>
      </c>
      <c r="K1211" t="str">
        <f>"R$ 1.991,16"</f>
        <v>R$ 1.991,16</v>
      </c>
    </row>
    <row r="1212" spans="1:11" x14ac:dyDescent="0.25">
      <c r="A1212" t="str">
        <f>"00009253 / 1"</f>
        <v>00009253 / 1</v>
      </c>
      <c r="B1212" t="str">
        <f>"13° Salário Anual"</f>
        <v>13° Salário Anual</v>
      </c>
      <c r="C1212" t="str">
        <f>"Maria do Perpetuo Socorro de Souza Rocha"</f>
        <v>Maria do Perpetuo Socorro de Souza Rocha</v>
      </c>
      <c r="D1212" t="str">
        <f>"PROFESSOR NIVEL III"</f>
        <v>PROFESSOR NIVEL III</v>
      </c>
      <c r="E1212" t="str">
        <f>"Efetivo-Inativos II-RJUSM"</f>
        <v>Efetivo-Inativos II-RJUSM</v>
      </c>
      <c r="F1212" t="str">
        <f>"R$ 6.055,17"</f>
        <v>R$ 6.055,17</v>
      </c>
      <c r="G1212" t="str">
        <f>"R$ 7.871,72"</f>
        <v>R$ 7.871,72</v>
      </c>
      <c r="H1212" t="str">
        <f t="shared" si="117"/>
        <v>R$ 0,00</v>
      </c>
      <c r="I1212" t="str">
        <f>"R$ 7.871,72"</f>
        <v>R$ 7.871,72</v>
      </c>
      <c r="J1212" t="str">
        <f>"R$ 5.358,80"</f>
        <v>R$ 5.358,80</v>
      </c>
      <c r="K1212" t="str">
        <f>"R$ 2.512,92"</f>
        <v>R$ 2.512,92</v>
      </c>
    </row>
    <row r="1213" spans="1:11" x14ac:dyDescent="0.25">
      <c r="A1213" t="str">
        <f>"00009253 / 1"</f>
        <v>00009253 / 1</v>
      </c>
      <c r="B1213" t="str">
        <f>"Folha Mensal"</f>
        <v>Folha Mensal</v>
      </c>
      <c r="C1213" t="str">
        <f>"Maria do Perpetuo Socorro de Souza Rocha"</f>
        <v>Maria do Perpetuo Socorro de Souza Rocha</v>
      </c>
      <c r="D1213" t="str">
        <f>"PROFESSOR NIVEL III"</f>
        <v>PROFESSOR NIVEL III</v>
      </c>
      <c r="E1213" t="str">
        <f>"Efetivo-Inativos II-RJUSM"</f>
        <v>Efetivo-Inativos II-RJUSM</v>
      </c>
      <c r="F1213" t="str">
        <f>"R$ 6.055,17"</f>
        <v>R$ 6.055,17</v>
      </c>
      <c r="G1213" t="str">
        <f>"R$ 7.871,72"</f>
        <v>R$ 7.871,72</v>
      </c>
      <c r="H1213" t="str">
        <f t="shared" si="117"/>
        <v>R$ 0,00</v>
      </c>
      <c r="I1213" t="str">
        <f>"R$ 7.871,72"</f>
        <v>R$ 7.871,72</v>
      </c>
      <c r="J1213" t="str">
        <f>"R$ 1.422,94"</f>
        <v>R$ 1.422,94</v>
      </c>
      <c r="K1213" t="str">
        <f>"R$ 6.448,78"</f>
        <v>R$ 6.448,78</v>
      </c>
    </row>
    <row r="1214" spans="1:11" x14ac:dyDescent="0.25">
      <c r="A1214" t="str">
        <f>"00058475 / 2"</f>
        <v>00058475 / 2</v>
      </c>
      <c r="B1214" t="str">
        <f>"13° Salário Anual"</f>
        <v>13° Salário Anual</v>
      </c>
      <c r="C1214" t="str">
        <f>"Maria do Perpetuo Socorro Sousa da Silva"</f>
        <v>Maria do Perpetuo Socorro Sousa da Silva</v>
      </c>
      <c r="D1214" t="str">
        <f>"PROFESSOR NIVEL II"</f>
        <v>PROFESSOR NIVEL II</v>
      </c>
      <c r="E1214" t="str">
        <f>"Efetivo-Inativo I- RJUSM"</f>
        <v>Efetivo-Inativo I- RJUSM</v>
      </c>
      <c r="F1214" t="str">
        <f>"R$ 4.116,47"</f>
        <v>R$ 4.116,47</v>
      </c>
      <c r="G1214" t="str">
        <f>"R$ 4.733,94"</f>
        <v>R$ 4.733,94</v>
      </c>
      <c r="H1214" t="str">
        <f t="shared" si="117"/>
        <v>R$ 0,00</v>
      </c>
      <c r="I1214" t="str">
        <f>"R$ 4.733,94"</f>
        <v>R$ 4.733,94</v>
      </c>
      <c r="J1214" t="str">
        <f>"R$ 2.753,31"</f>
        <v>R$ 2.753,31</v>
      </c>
      <c r="K1214" t="str">
        <f>"R$ 1.980,63"</f>
        <v>R$ 1.980,63</v>
      </c>
    </row>
    <row r="1215" spans="1:11" x14ac:dyDescent="0.25">
      <c r="A1215" t="str">
        <f>"00058475 / 2"</f>
        <v>00058475 / 2</v>
      </c>
      <c r="B1215" t="str">
        <f>"Folha Mensal"</f>
        <v>Folha Mensal</v>
      </c>
      <c r="C1215" t="str">
        <f>"Maria do Perpetuo Socorro Sousa da Silva"</f>
        <v>Maria do Perpetuo Socorro Sousa da Silva</v>
      </c>
      <c r="D1215" t="str">
        <f>"PROFESSOR NIVEL II"</f>
        <v>PROFESSOR NIVEL II</v>
      </c>
      <c r="E1215" t="str">
        <f>"Efetivo-Inativo I- RJUSM"</f>
        <v>Efetivo-Inativo I- RJUSM</v>
      </c>
      <c r="F1215" t="str">
        <f>"R$ 4.116,47"</f>
        <v>R$ 4.116,47</v>
      </c>
      <c r="G1215" t="str">
        <f>"R$ 4.733,94"</f>
        <v>R$ 4.733,94</v>
      </c>
      <c r="H1215" t="str">
        <f t="shared" si="117"/>
        <v>R$ 0,00</v>
      </c>
      <c r="I1215" t="str">
        <f>"R$ 4.733,94"</f>
        <v>R$ 4.733,94</v>
      </c>
      <c r="J1215" t="str">
        <f>"R$ 1.659,43"</f>
        <v>R$ 1.659,43</v>
      </c>
      <c r="K1215" t="str">
        <f>"R$ 3.074,51"</f>
        <v>R$ 3.074,51</v>
      </c>
    </row>
    <row r="1216" spans="1:11" x14ac:dyDescent="0.25">
      <c r="A1216" t="str">
        <f>"00052728 / 1"</f>
        <v>00052728 / 1</v>
      </c>
      <c r="B1216" t="str">
        <f>"13° Salário Anual"</f>
        <v>13° Salário Anual</v>
      </c>
      <c r="C1216" t="str">
        <f>"Maria do Rosario de Fatima Miranda Pantoja"</f>
        <v>Maria do Rosario de Fatima Miranda Pantoja</v>
      </c>
      <c r="D1216" t="str">
        <f>"PROFESSOR NIVEL II"</f>
        <v>PROFESSOR NIVEL II</v>
      </c>
      <c r="E1216" t="str">
        <f>"Efetivo-Inativos II-RJUSM"</f>
        <v>Efetivo-Inativos II-RJUSM</v>
      </c>
      <c r="F1216" t="str">
        <f>"R$ 5.417,82"</f>
        <v>R$ 5.417,82</v>
      </c>
      <c r="G1216" t="str">
        <f>"R$ 6.772,27"</f>
        <v>R$ 6.772,27</v>
      </c>
      <c r="H1216" t="str">
        <f t="shared" si="117"/>
        <v>R$ 0,00</v>
      </c>
      <c r="I1216" t="str">
        <f>"R$ 6.772,27"</f>
        <v>R$ 6.772,27</v>
      </c>
      <c r="J1216" t="str">
        <f>"R$ 4.447,26"</f>
        <v>R$ 4.447,26</v>
      </c>
      <c r="K1216" t="str">
        <f>"R$ 2.325,01"</f>
        <v>R$ 2.325,01</v>
      </c>
    </row>
    <row r="1217" spans="1:11" x14ac:dyDescent="0.25">
      <c r="A1217" t="str">
        <f>"00052728 / 1"</f>
        <v>00052728 / 1</v>
      </c>
      <c r="B1217" t="str">
        <f>"Folha Mensal"</f>
        <v>Folha Mensal</v>
      </c>
      <c r="C1217" t="str">
        <f>"Maria do Rosario de Fatima Miranda Pantoja"</f>
        <v>Maria do Rosario de Fatima Miranda Pantoja</v>
      </c>
      <c r="D1217" t="str">
        <f>"PROFESSOR NIVEL II"</f>
        <v>PROFESSOR NIVEL II</v>
      </c>
      <c r="E1217" t="str">
        <f>"Efetivo-Inativos II-RJUSM"</f>
        <v>Efetivo-Inativos II-RJUSM</v>
      </c>
      <c r="F1217" t="str">
        <f>"R$ 5.417,82"</f>
        <v>R$ 5.417,82</v>
      </c>
      <c r="G1217" t="str">
        <f>"R$ 6.772,27"</f>
        <v>R$ 6.772,27</v>
      </c>
      <c r="H1217" t="str">
        <f t="shared" si="117"/>
        <v>R$ 0,00</v>
      </c>
      <c r="I1217" t="str">
        <f>"R$ 6.772,27"</f>
        <v>R$ 6.772,27</v>
      </c>
      <c r="J1217" t="str">
        <f>"R$ 2.160,45"</f>
        <v>R$ 2.160,45</v>
      </c>
      <c r="K1217" t="str">
        <f>"R$ 4.611,82"</f>
        <v>R$ 4.611,82</v>
      </c>
    </row>
    <row r="1218" spans="1:11" x14ac:dyDescent="0.25">
      <c r="A1218" t="str">
        <f>"00000205 / 1"</f>
        <v>00000205 / 1</v>
      </c>
      <c r="B1218" t="str">
        <f>"13° Salário Anual"</f>
        <v>13° Salário Anual</v>
      </c>
      <c r="C1218" t="str">
        <f>"Maria do Rosario Ribeiro Ferreira"</f>
        <v>Maria do Rosario Ribeiro Ferreira</v>
      </c>
      <c r="D1218" t="str">
        <f>"PROP IDADE"</f>
        <v>PROP IDADE</v>
      </c>
      <c r="E1218" t="str">
        <f t="shared" ref="E1218:E1229" si="118">"Efetivo-Inativo I- RJUSM"</f>
        <v>Efetivo-Inativo I- RJUSM</v>
      </c>
      <c r="F1218" t="str">
        <f>"R$ 1.100,00"</f>
        <v>R$ 1.100,00</v>
      </c>
      <c r="G1218" t="str">
        <f>"R$ 1.100,00"</f>
        <v>R$ 1.100,00</v>
      </c>
      <c r="H1218" t="str">
        <f t="shared" si="117"/>
        <v>R$ 0,00</v>
      </c>
      <c r="I1218" t="str">
        <f>"R$ 1.100,00"</f>
        <v>R$ 1.100,00</v>
      </c>
      <c r="J1218" t="str">
        <f>"R$ 550,00"</f>
        <v>R$ 550,00</v>
      </c>
      <c r="K1218" t="str">
        <f>"R$ 550,00"</f>
        <v>R$ 550,00</v>
      </c>
    </row>
    <row r="1219" spans="1:11" x14ac:dyDescent="0.25">
      <c r="A1219" t="str">
        <f>"00000205 / 1"</f>
        <v>00000205 / 1</v>
      </c>
      <c r="B1219" t="str">
        <f>"Folha Mensal"</f>
        <v>Folha Mensal</v>
      </c>
      <c r="C1219" t="str">
        <f>"Maria do Rosario Ribeiro Ferreira"</f>
        <v>Maria do Rosario Ribeiro Ferreira</v>
      </c>
      <c r="D1219" t="str">
        <f>"PROP IDADE"</f>
        <v>PROP IDADE</v>
      </c>
      <c r="E1219" t="str">
        <f t="shared" si="118"/>
        <v>Efetivo-Inativo I- RJUSM</v>
      </c>
      <c r="F1219" t="str">
        <f>"R$ 1.100,00"</f>
        <v>R$ 1.100,00</v>
      </c>
      <c r="G1219" t="str">
        <f>"R$ 1.100,00"</f>
        <v>R$ 1.100,00</v>
      </c>
      <c r="H1219" t="str">
        <f t="shared" si="117"/>
        <v>R$ 0,00</v>
      </c>
      <c r="I1219" t="str">
        <f>"R$ 1.100,00"</f>
        <v>R$ 1.100,00</v>
      </c>
      <c r="J1219" t="str">
        <f>"R$ 229,22"</f>
        <v>R$ 229,22</v>
      </c>
      <c r="K1219" t="str">
        <f>"R$ 870,78"</f>
        <v>R$ 870,78</v>
      </c>
    </row>
    <row r="1220" spans="1:11" x14ac:dyDescent="0.25">
      <c r="A1220" t="str">
        <f>"00032220 / 1"</f>
        <v>00032220 / 1</v>
      </c>
      <c r="B1220" t="str">
        <f>"13° Salário Anual"</f>
        <v>13° Salário Anual</v>
      </c>
      <c r="C1220" t="str">
        <f>"Maria do Rosario Silva de Melo"</f>
        <v>Maria do Rosario Silva de Melo</v>
      </c>
      <c r="D1220" t="str">
        <f>"INT TEMP CONTRIBUICAO"</f>
        <v>INT TEMP CONTRIBUICAO</v>
      </c>
      <c r="E1220" t="str">
        <f t="shared" si="118"/>
        <v>Efetivo-Inativo I- RJUSM</v>
      </c>
      <c r="F1220" t="str">
        <f>"R$ 1.100,00"</f>
        <v>R$ 1.100,00</v>
      </c>
      <c r="G1220" t="str">
        <f>"R$ 1.430,00"</f>
        <v>R$ 1.430,00</v>
      </c>
      <c r="H1220" t="str">
        <f t="shared" si="117"/>
        <v>R$ 0,00</v>
      </c>
      <c r="I1220" t="str">
        <f>"R$ 1.430,00"</f>
        <v>R$ 1.430,00</v>
      </c>
      <c r="J1220" t="str">
        <f>"R$ 715,00"</f>
        <v>R$ 715,00</v>
      </c>
      <c r="K1220" t="str">
        <f>"R$ 715,00"</f>
        <v>R$ 715,00</v>
      </c>
    </row>
    <row r="1221" spans="1:11" x14ac:dyDescent="0.25">
      <c r="A1221" t="str">
        <f>"00032220 / 1"</f>
        <v>00032220 / 1</v>
      </c>
      <c r="B1221" t="str">
        <f>"Folha Mensal"</f>
        <v>Folha Mensal</v>
      </c>
      <c r="C1221" t="str">
        <f>"Maria do Rosario Silva de Melo"</f>
        <v>Maria do Rosario Silva de Melo</v>
      </c>
      <c r="D1221" t="str">
        <f>"INT TEMP CONTRIBUICAO"</f>
        <v>INT TEMP CONTRIBUICAO</v>
      </c>
      <c r="E1221" t="str">
        <f t="shared" si="118"/>
        <v>Efetivo-Inativo I- RJUSM</v>
      </c>
      <c r="F1221" t="str">
        <f>"R$ 1.100,00"</f>
        <v>R$ 1.100,00</v>
      </c>
      <c r="G1221" t="str">
        <f>"R$ 1.430,00"</f>
        <v>R$ 1.430,00</v>
      </c>
      <c r="H1221" t="str">
        <f t="shared" si="117"/>
        <v>R$ 0,00</v>
      </c>
      <c r="I1221" t="str">
        <f>"R$ 1.430,00"</f>
        <v>R$ 1.430,00</v>
      </c>
      <c r="J1221" t="str">
        <f>"R$ 0,00"</f>
        <v>R$ 0,00</v>
      </c>
      <c r="K1221" t="str">
        <f>"R$ 1.430,00"</f>
        <v>R$ 1.430,00</v>
      </c>
    </row>
    <row r="1222" spans="1:11" x14ac:dyDescent="0.25">
      <c r="A1222" t="str">
        <f>"00001597 / 2"</f>
        <v>00001597 / 2</v>
      </c>
      <c r="B1222" t="str">
        <f>"13° Salário Anual"</f>
        <v>13° Salário Anual</v>
      </c>
      <c r="C1222" t="str">
        <f>"Maria do Rozario Fontoura da Rocha"</f>
        <v>Maria do Rozario Fontoura da Rocha</v>
      </c>
      <c r="D1222" t="str">
        <f>"INT TEMP CONTRIBUICAO"</f>
        <v>INT TEMP CONTRIBUICAO</v>
      </c>
      <c r="E1222" t="str">
        <f t="shared" si="118"/>
        <v>Efetivo-Inativo I- RJUSM</v>
      </c>
      <c r="F1222" t="str">
        <f>"R$ 1.100,00"</f>
        <v>R$ 1.100,00</v>
      </c>
      <c r="G1222" t="str">
        <f>"R$ 1.430,00"</f>
        <v>R$ 1.430,00</v>
      </c>
      <c r="H1222" t="str">
        <f t="shared" si="117"/>
        <v>R$ 0,00</v>
      </c>
      <c r="I1222" t="str">
        <f>"R$ 1.430,00"</f>
        <v>R$ 1.430,00</v>
      </c>
      <c r="J1222" t="str">
        <f>"R$ 715,00"</f>
        <v>R$ 715,00</v>
      </c>
      <c r="K1222" t="str">
        <f>"R$ 715,00"</f>
        <v>R$ 715,00</v>
      </c>
    </row>
    <row r="1223" spans="1:11" x14ac:dyDescent="0.25">
      <c r="A1223" t="str">
        <f>"00001597 / 2"</f>
        <v>00001597 / 2</v>
      </c>
      <c r="B1223" t="str">
        <f>"Folha Mensal"</f>
        <v>Folha Mensal</v>
      </c>
      <c r="C1223" t="str">
        <f>"Maria do Rozario Fontoura da Rocha"</f>
        <v>Maria do Rozario Fontoura da Rocha</v>
      </c>
      <c r="D1223" t="str">
        <f>"INT TEMP CONTRIBUICAO"</f>
        <v>INT TEMP CONTRIBUICAO</v>
      </c>
      <c r="E1223" t="str">
        <f t="shared" si="118"/>
        <v>Efetivo-Inativo I- RJUSM</v>
      </c>
      <c r="F1223" t="str">
        <f>"R$ 1.100,00"</f>
        <v>R$ 1.100,00</v>
      </c>
      <c r="G1223" t="str">
        <f>"R$ 1.430,00"</f>
        <v>R$ 1.430,00</v>
      </c>
      <c r="H1223" t="str">
        <f t="shared" si="117"/>
        <v>R$ 0,00</v>
      </c>
      <c r="I1223" t="str">
        <f>"R$ 1.430,00"</f>
        <v>R$ 1.430,00</v>
      </c>
      <c r="J1223" t="str">
        <f>"R$ 0,00"</f>
        <v>R$ 0,00</v>
      </c>
      <c r="K1223" t="str">
        <f>"R$ 1.430,00"</f>
        <v>R$ 1.430,00</v>
      </c>
    </row>
    <row r="1224" spans="1:11" x14ac:dyDescent="0.25">
      <c r="A1224" t="str">
        <f>"00000299 / 1"</f>
        <v>00000299 / 1</v>
      </c>
      <c r="B1224" t="str">
        <f>"13° Salário Anual"</f>
        <v>13° Salário Anual</v>
      </c>
      <c r="C1224" t="str">
        <f>"Maria do Socorro Amorim de Deus"</f>
        <v>Maria do Socorro Amorim de Deus</v>
      </c>
      <c r="D1224" t="str">
        <f>"PROFESSOR"</f>
        <v>PROFESSOR</v>
      </c>
      <c r="E1224" t="str">
        <f t="shared" si="118"/>
        <v>Efetivo-Inativo I- RJUSM</v>
      </c>
      <c r="F1224" t="str">
        <f>"R$ 1.593,46"</f>
        <v>R$ 1.593,46</v>
      </c>
      <c r="G1224" t="str">
        <f>"R$ 1.991,82"</f>
        <v>R$ 1.991,82</v>
      </c>
      <c r="H1224" t="str">
        <f t="shared" si="117"/>
        <v>R$ 0,00</v>
      </c>
      <c r="I1224" t="str">
        <f>"R$ 1.991,82"</f>
        <v>R$ 1.991,82</v>
      </c>
      <c r="J1224" t="str">
        <f>"R$ 995,91"</f>
        <v>R$ 995,91</v>
      </c>
      <c r="K1224" t="str">
        <f>"R$ 995,91"</f>
        <v>R$ 995,91</v>
      </c>
    </row>
    <row r="1225" spans="1:11" x14ac:dyDescent="0.25">
      <c r="A1225" t="str">
        <f>"00000299 / 1"</f>
        <v>00000299 / 1</v>
      </c>
      <c r="B1225" t="str">
        <f>"Folha Mensal"</f>
        <v>Folha Mensal</v>
      </c>
      <c r="C1225" t="str">
        <f>"Maria do Socorro Amorim de Deus"</f>
        <v>Maria do Socorro Amorim de Deus</v>
      </c>
      <c r="D1225" t="str">
        <f>"PROFESSOR"</f>
        <v>PROFESSOR</v>
      </c>
      <c r="E1225" t="str">
        <f t="shared" si="118"/>
        <v>Efetivo-Inativo I- RJUSM</v>
      </c>
      <c r="F1225" t="str">
        <f>"R$ 1.593,46"</f>
        <v>R$ 1.593,46</v>
      </c>
      <c r="G1225" t="str">
        <f>"R$ 1.991,82"</f>
        <v>R$ 1.991,82</v>
      </c>
      <c r="H1225" t="str">
        <f t="shared" si="117"/>
        <v>R$ 0,00</v>
      </c>
      <c r="I1225" t="str">
        <f>"R$ 1.991,82"</f>
        <v>R$ 1.991,82</v>
      </c>
      <c r="J1225" t="str">
        <f>"R$ 0,00"</f>
        <v>R$ 0,00</v>
      </c>
      <c r="K1225" t="str">
        <f>"R$ 1.991,82"</f>
        <v>R$ 1.991,82</v>
      </c>
    </row>
    <row r="1226" spans="1:11" x14ac:dyDescent="0.25">
      <c r="A1226" t="str">
        <f>"00031550 / 1"</f>
        <v>00031550 / 1</v>
      </c>
      <c r="B1226" t="str">
        <f>"13° Salário Anual"</f>
        <v>13° Salário Anual</v>
      </c>
      <c r="C1226" t="str">
        <f>"Maria do Socorro Cardoso da Penha"</f>
        <v>Maria do Socorro Cardoso da Penha</v>
      </c>
      <c r="D1226" t="str">
        <f>"PROFESSOR"</f>
        <v>PROFESSOR</v>
      </c>
      <c r="E1226" t="str">
        <f t="shared" si="118"/>
        <v>Efetivo-Inativo I- RJUSM</v>
      </c>
      <c r="F1226" t="str">
        <f>"R$ 2.071,51"</f>
        <v>R$ 2.071,51</v>
      </c>
      <c r="G1226" t="str">
        <f>"R$ 2.589,38"</f>
        <v>R$ 2.589,38</v>
      </c>
      <c r="H1226" t="str">
        <f t="shared" si="117"/>
        <v>R$ 0,00</v>
      </c>
      <c r="I1226" t="str">
        <f>"R$ 2.589,38"</f>
        <v>R$ 2.589,38</v>
      </c>
      <c r="J1226" t="str">
        <f>"R$ 1.331,87"</f>
        <v>R$ 1.331,87</v>
      </c>
      <c r="K1226" t="str">
        <f>"R$ 1.257,51"</f>
        <v>R$ 1.257,51</v>
      </c>
    </row>
    <row r="1227" spans="1:11" x14ac:dyDescent="0.25">
      <c r="A1227" t="str">
        <f>"00031550 / 1"</f>
        <v>00031550 / 1</v>
      </c>
      <c r="B1227" t="str">
        <f>"Folha Mensal"</f>
        <v>Folha Mensal</v>
      </c>
      <c r="C1227" t="str">
        <f>"Maria do Socorro Cardoso da Penha"</f>
        <v>Maria do Socorro Cardoso da Penha</v>
      </c>
      <c r="D1227" t="str">
        <f>"PROFESSOR"</f>
        <v>PROFESSOR</v>
      </c>
      <c r="E1227" t="str">
        <f t="shared" si="118"/>
        <v>Efetivo-Inativo I- RJUSM</v>
      </c>
      <c r="F1227" t="str">
        <f>"R$ 2.071,51"</f>
        <v>R$ 2.071,51</v>
      </c>
      <c r="G1227" t="str">
        <f>"R$ 2.589,38"</f>
        <v>R$ 2.589,38</v>
      </c>
      <c r="H1227" t="str">
        <f t="shared" si="117"/>
        <v>R$ 0,00</v>
      </c>
      <c r="I1227" t="str">
        <f>"R$ 2.589,38"</f>
        <v>R$ 2.589,38</v>
      </c>
      <c r="J1227" t="str">
        <f>"R$ 791,40"</f>
        <v>R$ 791,40</v>
      </c>
      <c r="K1227" t="str">
        <f>"R$ 1.797,98"</f>
        <v>R$ 1.797,98</v>
      </c>
    </row>
    <row r="1228" spans="1:11" x14ac:dyDescent="0.25">
      <c r="A1228" t="str">
        <f>"00052256 / 2"</f>
        <v>00052256 / 2</v>
      </c>
      <c r="B1228" t="str">
        <f>"13° Salário Anual"</f>
        <v>13° Salário Anual</v>
      </c>
      <c r="C1228" t="str">
        <f>"Maria do Socorro de Lima"</f>
        <v>Maria do Socorro de Lima</v>
      </c>
      <c r="D1228" t="str">
        <f>"PROFESSOR NIVEL II"</f>
        <v>PROFESSOR NIVEL II</v>
      </c>
      <c r="E1228" t="str">
        <f t="shared" si="118"/>
        <v>Efetivo-Inativo I- RJUSM</v>
      </c>
      <c r="F1228" t="str">
        <f>"R$ 4.143,03"</f>
        <v>R$ 4.143,03</v>
      </c>
      <c r="G1228" t="str">
        <f>"R$ 5.178,78"</f>
        <v>R$ 5.178,78</v>
      </c>
      <c r="H1228" t="str">
        <f t="shared" si="117"/>
        <v>R$ 0,00</v>
      </c>
      <c r="I1228" t="str">
        <f>"R$ 5.178,78"</f>
        <v>R$ 5.178,78</v>
      </c>
      <c r="J1228" t="str">
        <f>"R$ 2.589,39"</f>
        <v>R$ 2.589,39</v>
      </c>
      <c r="K1228" t="str">
        <f>"R$ 2.589,39"</f>
        <v>R$ 2.589,39</v>
      </c>
    </row>
    <row r="1229" spans="1:11" x14ac:dyDescent="0.25">
      <c r="A1229" t="str">
        <f>"00052256 / 2"</f>
        <v>00052256 / 2</v>
      </c>
      <c r="B1229" t="str">
        <f>"Folha Mensal"</f>
        <v>Folha Mensal</v>
      </c>
      <c r="C1229" t="str">
        <f>"Maria do Socorro de Lima"</f>
        <v>Maria do Socorro de Lima</v>
      </c>
      <c r="D1229" t="str">
        <f>"PROFESSOR NIVEL II"</f>
        <v>PROFESSOR NIVEL II</v>
      </c>
      <c r="E1229" t="str">
        <f t="shared" si="118"/>
        <v>Efetivo-Inativo I- RJUSM</v>
      </c>
      <c r="F1229" t="str">
        <f>"R$ 4.143,03"</f>
        <v>R$ 4.143,03</v>
      </c>
      <c r="G1229" t="str">
        <f>"R$ 5.178,78"</f>
        <v>R$ 5.178,78</v>
      </c>
      <c r="H1229" t="str">
        <f t="shared" si="117"/>
        <v>R$ 0,00</v>
      </c>
      <c r="I1229" t="str">
        <f>"R$ 5.178,78"</f>
        <v>R$ 5.178,78</v>
      </c>
      <c r="J1229" t="str">
        <f>"R$ 1.540,20"</f>
        <v>R$ 1.540,20</v>
      </c>
      <c r="K1229" t="str">
        <f>"R$ 3.638,58"</f>
        <v>R$ 3.638,58</v>
      </c>
    </row>
    <row r="1230" spans="1:11" x14ac:dyDescent="0.25">
      <c r="A1230" t="str">
        <f>"00009300 / 2"</f>
        <v>00009300 / 2</v>
      </c>
      <c r="B1230" t="str">
        <f>"13° Salário Anual"</f>
        <v>13° Salário Anual</v>
      </c>
      <c r="C1230" t="str">
        <f>"Maria do Socorro dos Santos Melo"</f>
        <v>Maria do Socorro dos Santos Melo</v>
      </c>
      <c r="D1230" t="str">
        <f>"INT TEMP CONTRIBUICAO"</f>
        <v>INT TEMP CONTRIBUICAO</v>
      </c>
      <c r="E1230" t="str">
        <f t="shared" ref="E1230:E1237" si="119">"Efetivo-Inativos II-RJUSM"</f>
        <v>Efetivo-Inativos II-RJUSM</v>
      </c>
      <c r="F1230" t="str">
        <f>"R$ 1.100,00"</f>
        <v>R$ 1.100,00</v>
      </c>
      <c r="G1230" t="str">
        <f>"R$ 1.430,00"</f>
        <v>R$ 1.430,00</v>
      </c>
      <c r="H1230" t="str">
        <f t="shared" si="117"/>
        <v>R$ 0,00</v>
      </c>
      <c r="I1230" t="str">
        <f>"R$ 1.430,00"</f>
        <v>R$ 1.430,00</v>
      </c>
      <c r="J1230" t="str">
        <f>"R$ 715,00"</f>
        <v>R$ 715,00</v>
      </c>
      <c r="K1230" t="str">
        <f>"R$ 715,00"</f>
        <v>R$ 715,00</v>
      </c>
    </row>
    <row r="1231" spans="1:11" x14ac:dyDescent="0.25">
      <c r="A1231" t="str">
        <f>"00009300 / 2"</f>
        <v>00009300 / 2</v>
      </c>
      <c r="B1231" t="str">
        <f>"Folha Mensal"</f>
        <v>Folha Mensal</v>
      </c>
      <c r="C1231" t="str">
        <f>"Maria do Socorro dos Santos Melo"</f>
        <v>Maria do Socorro dos Santos Melo</v>
      </c>
      <c r="D1231" t="str">
        <f>"INT TEMP CONTRIBUICAO"</f>
        <v>INT TEMP CONTRIBUICAO</v>
      </c>
      <c r="E1231" t="str">
        <f t="shared" si="119"/>
        <v>Efetivo-Inativos II-RJUSM</v>
      </c>
      <c r="F1231" t="str">
        <f>"R$ 1.100,00"</f>
        <v>R$ 1.100,00</v>
      </c>
      <c r="G1231" t="str">
        <f>"R$ 1.430,00"</f>
        <v>R$ 1.430,00</v>
      </c>
      <c r="H1231" t="str">
        <f t="shared" si="117"/>
        <v>R$ 0,00</v>
      </c>
      <c r="I1231" t="str">
        <f>"R$ 1.430,00"</f>
        <v>R$ 1.430,00</v>
      </c>
      <c r="J1231" t="str">
        <f>"R$ 404,37"</f>
        <v>R$ 404,37</v>
      </c>
      <c r="K1231" t="str">
        <f>"R$ 1.025,63"</f>
        <v>R$ 1.025,63</v>
      </c>
    </row>
    <row r="1232" spans="1:11" x14ac:dyDescent="0.25">
      <c r="A1232" t="str">
        <f>"00052531 / 1"</f>
        <v>00052531 / 1</v>
      </c>
      <c r="B1232" t="str">
        <f>"13° Salário Anual"</f>
        <v>13° Salário Anual</v>
      </c>
      <c r="C1232" t="str">
        <f>"Maria do Socorro Goncalves Sandim"</f>
        <v>Maria do Socorro Goncalves Sandim</v>
      </c>
      <c r="D1232" t="str">
        <f>"PROFESSOR NIVEL III"</f>
        <v>PROFESSOR NIVEL III</v>
      </c>
      <c r="E1232" t="str">
        <f t="shared" si="119"/>
        <v>Efetivo-Inativos II-RJUSM</v>
      </c>
      <c r="F1232" t="str">
        <f>"R$ 4.182,86"</f>
        <v>R$ 4.182,86</v>
      </c>
      <c r="G1232" t="str">
        <f>"R$ 5.019,43"</f>
        <v>R$ 5.019,43</v>
      </c>
      <c r="H1232" t="str">
        <f t="shared" si="117"/>
        <v>R$ 0,00</v>
      </c>
      <c r="I1232" t="str">
        <f>"R$ 5.019,43"</f>
        <v>R$ 5.019,43</v>
      </c>
      <c r="J1232" t="str">
        <f>"R$ 2.968,55"</f>
        <v>R$ 2.968,55</v>
      </c>
      <c r="K1232" t="str">
        <f>"R$ 2.050,88"</f>
        <v>R$ 2.050,88</v>
      </c>
    </row>
    <row r="1233" spans="1:11" x14ac:dyDescent="0.25">
      <c r="A1233" t="str">
        <f>"00052531 / 1"</f>
        <v>00052531 / 1</v>
      </c>
      <c r="B1233" t="str">
        <f>"Folha Mensal"</f>
        <v>Folha Mensal</v>
      </c>
      <c r="C1233" t="str">
        <f>"Maria do Socorro Goncalves Sandim"</f>
        <v>Maria do Socorro Goncalves Sandim</v>
      </c>
      <c r="D1233" t="str">
        <f>"PROFESSOR NIVEL III"</f>
        <v>PROFESSOR NIVEL III</v>
      </c>
      <c r="E1233" t="str">
        <f t="shared" si="119"/>
        <v>Efetivo-Inativos II-RJUSM</v>
      </c>
      <c r="F1233" t="str">
        <f>"R$ 4.182,86"</f>
        <v>R$ 4.182,86</v>
      </c>
      <c r="G1233" t="str">
        <f>"R$ 5.019,43"</f>
        <v>R$ 5.019,43</v>
      </c>
      <c r="H1233" t="str">
        <f t="shared" si="117"/>
        <v>R$ 0,00</v>
      </c>
      <c r="I1233" t="str">
        <f>"R$ 5.019,43"</f>
        <v>R$ 5.019,43</v>
      </c>
      <c r="J1233" t="str">
        <f>"R$ 1.191,00"</f>
        <v>R$ 1.191,00</v>
      </c>
      <c r="K1233" t="str">
        <f>"R$ 3.828,43"</f>
        <v>R$ 3.828,43</v>
      </c>
    </row>
    <row r="1234" spans="1:11" x14ac:dyDescent="0.25">
      <c r="A1234" t="str">
        <f>"00052698 / 1"</f>
        <v>00052698 / 1</v>
      </c>
      <c r="B1234" t="str">
        <f>"13° Salário Anual"</f>
        <v>13° Salário Anual</v>
      </c>
      <c r="C1234" t="str">
        <f>"Maria do Socorro Jose da Silva"</f>
        <v>Maria do Socorro Jose da Silva</v>
      </c>
      <c r="D1234" t="str">
        <f>"PROFESSOR NIVEL IV"</f>
        <v>PROFESSOR NIVEL IV</v>
      </c>
      <c r="E1234" t="str">
        <f t="shared" si="119"/>
        <v>Efetivo-Inativos II-RJUSM</v>
      </c>
      <c r="F1234" t="str">
        <f>"R$ 6.214,55"</f>
        <v>R$ 6.214,55</v>
      </c>
      <c r="G1234" t="str">
        <f>"R$ 7.457,46"</f>
        <v>R$ 7.457,46</v>
      </c>
      <c r="H1234" t="str">
        <f t="shared" si="117"/>
        <v>R$ 0,00</v>
      </c>
      <c r="I1234" t="str">
        <f>"R$ 7.457,46"</f>
        <v>R$ 7.457,46</v>
      </c>
      <c r="J1234" t="str">
        <f>"R$ 5.047,84"</f>
        <v>R$ 5.047,84</v>
      </c>
      <c r="K1234" t="str">
        <f>"R$ 2.409,62"</f>
        <v>R$ 2.409,62</v>
      </c>
    </row>
    <row r="1235" spans="1:11" x14ac:dyDescent="0.25">
      <c r="A1235" t="str">
        <f>"00052698 / 1"</f>
        <v>00052698 / 1</v>
      </c>
      <c r="B1235" t="str">
        <f>"Folha Mensal"</f>
        <v>Folha Mensal</v>
      </c>
      <c r="C1235" t="str">
        <f>"Maria do Socorro Jose da Silva"</f>
        <v>Maria do Socorro Jose da Silva</v>
      </c>
      <c r="D1235" t="str">
        <f>"PROFESSOR NIVEL IV"</f>
        <v>PROFESSOR NIVEL IV</v>
      </c>
      <c r="E1235" t="str">
        <f t="shared" si="119"/>
        <v>Efetivo-Inativos II-RJUSM</v>
      </c>
      <c r="F1235" t="str">
        <f>"R$ 6.214,55"</f>
        <v>R$ 6.214,55</v>
      </c>
      <c r="G1235" t="str">
        <f>"R$ 7.457,46"</f>
        <v>R$ 7.457,46</v>
      </c>
      <c r="H1235" t="str">
        <f t="shared" si="117"/>
        <v>R$ 0,00</v>
      </c>
      <c r="I1235" t="str">
        <f>"R$ 7.457,46"</f>
        <v>R$ 7.457,46</v>
      </c>
      <c r="J1235" t="str">
        <f>"R$ 3.414,13"</f>
        <v>R$ 3.414,13</v>
      </c>
      <c r="K1235" t="str">
        <f>"R$ 4.043,33"</f>
        <v>R$ 4.043,33</v>
      </c>
    </row>
    <row r="1236" spans="1:11" x14ac:dyDescent="0.25">
      <c r="A1236" t="str">
        <f>"00025151 / 2"</f>
        <v>00025151 / 2</v>
      </c>
      <c r="B1236" t="str">
        <f>"13° Salário Anual"</f>
        <v>13° Salário Anual</v>
      </c>
      <c r="C1236" t="str">
        <f>"Maria do Socorro Leite Barbosa"</f>
        <v>Maria do Socorro Leite Barbosa</v>
      </c>
      <c r="D1236" t="str">
        <f>"INT TEMP CONTRIBUICAO"</f>
        <v>INT TEMP CONTRIBUICAO</v>
      </c>
      <c r="E1236" t="str">
        <f t="shared" si="119"/>
        <v>Efetivo-Inativos II-RJUSM</v>
      </c>
      <c r="F1236" t="str">
        <f>"R$ 1.100,00"</f>
        <v>R$ 1.100,00</v>
      </c>
      <c r="G1236" t="str">
        <f>"R$ 1.375,00"</f>
        <v>R$ 1.375,00</v>
      </c>
      <c r="H1236" t="str">
        <f t="shared" si="117"/>
        <v>R$ 0,00</v>
      </c>
      <c r="I1236" t="str">
        <f>"R$ 1.375,00"</f>
        <v>R$ 1.375,00</v>
      </c>
      <c r="J1236" t="str">
        <f>"R$ 687,50"</f>
        <v>R$ 687,50</v>
      </c>
      <c r="K1236" t="str">
        <f>"R$ 687,50"</f>
        <v>R$ 687,50</v>
      </c>
    </row>
    <row r="1237" spans="1:11" x14ac:dyDescent="0.25">
      <c r="A1237" t="str">
        <f>"00025151 / 2"</f>
        <v>00025151 / 2</v>
      </c>
      <c r="B1237" t="str">
        <f>"Folha Mensal"</f>
        <v>Folha Mensal</v>
      </c>
      <c r="C1237" t="str">
        <f>"Maria do Socorro Leite Barbosa"</f>
        <v>Maria do Socorro Leite Barbosa</v>
      </c>
      <c r="D1237" t="str">
        <f>"INT TEMP CONTRIBUICAO"</f>
        <v>INT TEMP CONTRIBUICAO</v>
      </c>
      <c r="E1237" t="str">
        <f t="shared" si="119"/>
        <v>Efetivo-Inativos II-RJUSM</v>
      </c>
      <c r="F1237" t="str">
        <f>"R$ 1.100,00"</f>
        <v>R$ 1.100,00</v>
      </c>
      <c r="G1237" t="str">
        <f>"R$ 1.375,00"</f>
        <v>R$ 1.375,00</v>
      </c>
      <c r="H1237" t="str">
        <f t="shared" si="117"/>
        <v>R$ 0,00</v>
      </c>
      <c r="I1237" t="str">
        <f>"R$ 1.375,00"</f>
        <v>R$ 1.375,00</v>
      </c>
      <c r="J1237" t="str">
        <f>"R$ 0,00"</f>
        <v>R$ 0,00</v>
      </c>
      <c r="K1237" t="str">
        <f>"R$ 1.375,00"</f>
        <v>R$ 1.375,00</v>
      </c>
    </row>
    <row r="1238" spans="1:11" x14ac:dyDescent="0.25">
      <c r="A1238" t="str">
        <f>"00029378 / 1"</f>
        <v>00029378 / 1</v>
      </c>
      <c r="B1238" t="str">
        <f>"13° Salário Anual"</f>
        <v>13° Salário Anual</v>
      </c>
      <c r="C1238" t="str">
        <f>"Maria do Socorro Maia"</f>
        <v>Maria do Socorro Maia</v>
      </c>
      <c r="D1238" t="str">
        <f>"PROFESSOR"</f>
        <v>PROFESSOR</v>
      </c>
      <c r="E1238" t="str">
        <f t="shared" ref="E1238:E1245" si="120">"Efetivo-Inativo I- RJUSM"</f>
        <v>Efetivo-Inativo I- RJUSM</v>
      </c>
      <c r="F1238" t="str">
        <f>"R$ 2.230,85"</f>
        <v>R$ 2.230,85</v>
      </c>
      <c r="G1238" t="str">
        <f>"R$ 2.677,02"</f>
        <v>R$ 2.677,02</v>
      </c>
      <c r="H1238" t="str">
        <f t="shared" si="117"/>
        <v>R$ 0,00</v>
      </c>
      <c r="I1238" t="str">
        <f>"R$ 2.677,02"</f>
        <v>R$ 2.677,02</v>
      </c>
      <c r="J1238" t="str">
        <f>"R$ 1.338,51"</f>
        <v>R$ 1.338,51</v>
      </c>
      <c r="K1238" t="str">
        <f>"R$ 1.338,51"</f>
        <v>R$ 1.338,51</v>
      </c>
    </row>
    <row r="1239" spans="1:11" x14ac:dyDescent="0.25">
      <c r="A1239" t="str">
        <f>"00029378 / 1"</f>
        <v>00029378 / 1</v>
      </c>
      <c r="B1239" t="str">
        <f>"Folha Mensal"</f>
        <v>Folha Mensal</v>
      </c>
      <c r="C1239" t="str">
        <f>"Maria do Socorro Maia"</f>
        <v>Maria do Socorro Maia</v>
      </c>
      <c r="D1239" t="str">
        <f>"PROFESSOR"</f>
        <v>PROFESSOR</v>
      </c>
      <c r="E1239" t="str">
        <f t="shared" si="120"/>
        <v>Efetivo-Inativo I- RJUSM</v>
      </c>
      <c r="F1239" t="str">
        <f>"R$ 2.230,85"</f>
        <v>R$ 2.230,85</v>
      </c>
      <c r="G1239" t="str">
        <f>"R$ 2.677,02"</f>
        <v>R$ 2.677,02</v>
      </c>
      <c r="H1239" t="str">
        <f t="shared" si="117"/>
        <v>R$ 0,00</v>
      </c>
      <c r="I1239" t="str">
        <f>"R$ 2.677,02"</f>
        <v>R$ 2.677,02</v>
      </c>
      <c r="J1239" t="str">
        <f>"R$ 785,38"</f>
        <v>R$ 785,38</v>
      </c>
      <c r="K1239" t="str">
        <f>"R$ 1.891,64"</f>
        <v>R$ 1.891,64</v>
      </c>
    </row>
    <row r="1240" spans="1:11" x14ac:dyDescent="0.25">
      <c r="A1240" t="str">
        <f>"00024902 / 1"</f>
        <v>00024902 / 1</v>
      </c>
      <c r="B1240" t="str">
        <f>"13° Salário Anual"</f>
        <v>13° Salário Anual</v>
      </c>
      <c r="C1240" t="str">
        <f>"Maria do Socorro Martins de Lima"</f>
        <v>Maria do Socorro Martins de Lima</v>
      </c>
      <c r="D1240" t="str">
        <f>"PROP IDADE"</f>
        <v>PROP IDADE</v>
      </c>
      <c r="E1240" t="str">
        <f t="shared" si="120"/>
        <v>Efetivo-Inativo I- RJUSM</v>
      </c>
      <c r="F1240" t="str">
        <f>"R$ 1.100,00"</f>
        <v>R$ 1.100,00</v>
      </c>
      <c r="G1240" t="str">
        <f>"R$ 1.100,00"</f>
        <v>R$ 1.100,00</v>
      </c>
      <c r="H1240" t="str">
        <f t="shared" si="117"/>
        <v>R$ 0,00</v>
      </c>
      <c r="I1240" t="str">
        <f>"R$ 1.100,00"</f>
        <v>R$ 1.100,00</v>
      </c>
      <c r="J1240" t="str">
        <f>"R$ 550,00"</f>
        <v>R$ 550,00</v>
      </c>
      <c r="K1240" t="str">
        <f>"R$ 550,00"</f>
        <v>R$ 550,00</v>
      </c>
    </row>
    <row r="1241" spans="1:11" x14ac:dyDescent="0.25">
      <c r="A1241" t="str">
        <f>"00024902 / 1"</f>
        <v>00024902 / 1</v>
      </c>
      <c r="B1241" t="str">
        <f>"Folha Mensal"</f>
        <v>Folha Mensal</v>
      </c>
      <c r="C1241" t="str">
        <f>"Maria do Socorro Martins de Lima"</f>
        <v>Maria do Socorro Martins de Lima</v>
      </c>
      <c r="D1241" t="str">
        <f>"PROP IDADE"</f>
        <v>PROP IDADE</v>
      </c>
      <c r="E1241" t="str">
        <f t="shared" si="120"/>
        <v>Efetivo-Inativo I- RJUSM</v>
      </c>
      <c r="F1241" t="str">
        <f>"R$ 1.100,00"</f>
        <v>R$ 1.100,00</v>
      </c>
      <c r="G1241" t="str">
        <f>"R$ 1.100,00"</f>
        <v>R$ 1.100,00</v>
      </c>
      <c r="H1241" t="str">
        <f t="shared" si="117"/>
        <v>R$ 0,00</v>
      </c>
      <c r="I1241" t="str">
        <f>"R$ 1.100,00"</f>
        <v>R$ 1.100,00</v>
      </c>
      <c r="J1241" t="str">
        <f>"R$ 276,77"</f>
        <v>R$ 276,77</v>
      </c>
      <c r="K1241" t="str">
        <f>"R$ 823,23"</f>
        <v>R$ 823,23</v>
      </c>
    </row>
    <row r="1242" spans="1:11" x14ac:dyDescent="0.25">
      <c r="A1242" t="str">
        <f>"00006521 / 1"</f>
        <v>00006521 / 1</v>
      </c>
      <c r="B1242" t="str">
        <f>"13° Salário Anual"</f>
        <v>13° Salário Anual</v>
      </c>
      <c r="C1242" t="str">
        <f>"Maria do Socorro Oliveira Carvalho"</f>
        <v>Maria do Socorro Oliveira Carvalho</v>
      </c>
      <c r="D1242" t="str">
        <f>"PROFESSOR NIVEL II"</f>
        <v>PROFESSOR NIVEL II</v>
      </c>
      <c r="E1242" t="str">
        <f t="shared" si="120"/>
        <v>Efetivo-Inativo I- RJUSM</v>
      </c>
      <c r="F1242" t="str">
        <f>"R$ 4.143,03"</f>
        <v>R$ 4.143,03</v>
      </c>
      <c r="G1242" t="str">
        <f>"R$ 5.178,78"</f>
        <v>R$ 5.178,78</v>
      </c>
      <c r="H1242" t="str">
        <f t="shared" si="117"/>
        <v>R$ 0,00</v>
      </c>
      <c r="I1242" t="str">
        <f>"R$ 5.178,78"</f>
        <v>R$ 5.178,78</v>
      </c>
      <c r="J1242" t="str">
        <f>"R$ 3.092,05"</f>
        <v>R$ 3.092,05</v>
      </c>
      <c r="K1242" t="str">
        <f>"R$ 2.086,73"</f>
        <v>R$ 2.086,73</v>
      </c>
    </row>
    <row r="1243" spans="1:11" x14ac:dyDescent="0.25">
      <c r="A1243" t="str">
        <f>"00006521 / 1"</f>
        <v>00006521 / 1</v>
      </c>
      <c r="B1243" t="str">
        <f>"Folha Mensal"</f>
        <v>Folha Mensal</v>
      </c>
      <c r="C1243" t="str">
        <f>"Maria do Socorro Oliveira Carvalho"</f>
        <v>Maria do Socorro Oliveira Carvalho</v>
      </c>
      <c r="D1243" t="str">
        <f>"PROFESSOR NIVEL II"</f>
        <v>PROFESSOR NIVEL II</v>
      </c>
      <c r="E1243" t="str">
        <f t="shared" si="120"/>
        <v>Efetivo-Inativo I- RJUSM</v>
      </c>
      <c r="F1243" t="str">
        <f>"R$ 4.143,03"</f>
        <v>R$ 4.143,03</v>
      </c>
      <c r="G1243" t="str">
        <f>"R$ 5.178,78"</f>
        <v>R$ 5.178,78</v>
      </c>
      <c r="H1243" t="str">
        <f t="shared" si="117"/>
        <v>R$ 0,00</v>
      </c>
      <c r="I1243" t="str">
        <f>"R$ 5.178,78"</f>
        <v>R$ 5.178,78</v>
      </c>
      <c r="J1243" t="str">
        <f>"R$ 502,66"</f>
        <v>R$ 502,66</v>
      </c>
      <c r="K1243" t="str">
        <f>"R$ 4.676,12"</f>
        <v>R$ 4.676,12</v>
      </c>
    </row>
    <row r="1244" spans="1:11" x14ac:dyDescent="0.25">
      <c r="A1244" t="str">
        <f>"00017485 / 2"</f>
        <v>00017485 / 2</v>
      </c>
      <c r="B1244" t="str">
        <f>"13° Salário Anual"</f>
        <v>13° Salário Anual</v>
      </c>
      <c r="C1244" t="str">
        <f>"Maria do Socorro Peres Canelas"</f>
        <v>Maria do Socorro Peres Canelas</v>
      </c>
      <c r="D1244" t="str">
        <f>"PROFESSOR"</f>
        <v>PROFESSOR</v>
      </c>
      <c r="E1244" t="str">
        <f t="shared" si="120"/>
        <v>Efetivo-Inativo I- RJUSM</v>
      </c>
      <c r="F1244" t="str">
        <f>"R$ 2.071,51"</f>
        <v>R$ 2.071,51</v>
      </c>
      <c r="G1244" t="str">
        <f>"R$ 2.692,96"</f>
        <v>R$ 2.692,96</v>
      </c>
      <c r="H1244" t="str">
        <f t="shared" si="117"/>
        <v>R$ 0,00</v>
      </c>
      <c r="I1244" t="str">
        <f>"R$ 2.692,96"</f>
        <v>R$ 2.692,96</v>
      </c>
      <c r="J1244" t="str">
        <f>"R$ 1.391,43"</f>
        <v>R$ 1.391,43</v>
      </c>
      <c r="K1244" t="str">
        <f>"R$ 1.301,53"</f>
        <v>R$ 1.301,53</v>
      </c>
    </row>
    <row r="1245" spans="1:11" x14ac:dyDescent="0.25">
      <c r="A1245" t="str">
        <f>"00017485 / 2"</f>
        <v>00017485 / 2</v>
      </c>
      <c r="B1245" t="str">
        <f>"Folha Mensal"</f>
        <v>Folha Mensal</v>
      </c>
      <c r="C1245" t="str">
        <f>"Maria do Socorro Peres Canelas"</f>
        <v>Maria do Socorro Peres Canelas</v>
      </c>
      <c r="D1245" t="str">
        <f>"PROFESSOR"</f>
        <v>PROFESSOR</v>
      </c>
      <c r="E1245" t="str">
        <f t="shared" si="120"/>
        <v>Efetivo-Inativo I- RJUSM</v>
      </c>
      <c r="F1245" t="str">
        <f>"R$ 2.071,51"</f>
        <v>R$ 2.071,51</v>
      </c>
      <c r="G1245" t="str">
        <f>"R$ 2.692,96"</f>
        <v>R$ 2.692,96</v>
      </c>
      <c r="H1245" t="str">
        <f t="shared" si="117"/>
        <v>R$ 0,00</v>
      </c>
      <c r="I1245" t="str">
        <f>"R$ 2.692,96"</f>
        <v>R$ 2.692,96</v>
      </c>
      <c r="J1245" t="str">
        <f>"R$ 44,95"</f>
        <v>R$ 44,95</v>
      </c>
      <c r="K1245" t="str">
        <f>"R$ 2.648,01"</f>
        <v>R$ 2.648,01</v>
      </c>
    </row>
    <row r="1246" spans="1:11" x14ac:dyDescent="0.25">
      <c r="A1246" t="str">
        <f>"03639967 / 1"</f>
        <v>03639967 / 1</v>
      </c>
      <c r="B1246" t="str">
        <f>"13° Salário Anual"</f>
        <v>13° Salário Anual</v>
      </c>
      <c r="C1246" t="str">
        <f>"Maria do Socorro Pires da Silva"</f>
        <v>Maria do Socorro Pires da Silva</v>
      </c>
      <c r="D1246" t="str">
        <f>"PROFESSOR NIVEL II"</f>
        <v>PROFESSOR NIVEL II</v>
      </c>
      <c r="E1246" t="str">
        <f>"Efetivo-Inativos II-RJUSM"</f>
        <v>Efetivo-Inativos II-RJUSM</v>
      </c>
      <c r="F1246" t="str">
        <f>"R$ 5.736,47"</f>
        <v>R$ 5.736,47</v>
      </c>
      <c r="G1246" t="str">
        <f>"R$ 7.457,41"</f>
        <v>R$ 7.457,41</v>
      </c>
      <c r="H1246" t="str">
        <f t="shared" si="117"/>
        <v>R$ 0,00</v>
      </c>
      <c r="I1246" t="str">
        <f>"R$ 7.457,41"</f>
        <v>R$ 7.457,41</v>
      </c>
      <c r="J1246" t="str">
        <f>"R$ 4.995,65"</f>
        <v>R$ 4.995,65</v>
      </c>
      <c r="K1246" t="str">
        <f>"R$ 2.461,76"</f>
        <v>R$ 2.461,76</v>
      </c>
    </row>
    <row r="1247" spans="1:11" x14ac:dyDescent="0.25">
      <c r="A1247" t="str">
        <f>"03639967 / 1"</f>
        <v>03639967 / 1</v>
      </c>
      <c r="B1247" t="str">
        <f>"Folha Mensal"</f>
        <v>Folha Mensal</v>
      </c>
      <c r="C1247" t="str">
        <f>"Maria do Socorro Pires da Silva"</f>
        <v>Maria do Socorro Pires da Silva</v>
      </c>
      <c r="D1247" t="str">
        <f>"PROFESSOR NIVEL II"</f>
        <v>PROFESSOR NIVEL II</v>
      </c>
      <c r="E1247" t="str">
        <f>"Efetivo-Inativos II-RJUSM"</f>
        <v>Efetivo-Inativos II-RJUSM</v>
      </c>
      <c r="F1247" t="str">
        <f>"R$ 5.736,47"</f>
        <v>R$ 5.736,47</v>
      </c>
      <c r="G1247" t="str">
        <f>"R$ 7.457,41"</f>
        <v>R$ 7.457,41</v>
      </c>
      <c r="H1247" t="str">
        <f t="shared" si="117"/>
        <v>R$ 0,00</v>
      </c>
      <c r="I1247" t="str">
        <f>"R$ 7.457,41"</f>
        <v>R$ 7.457,41</v>
      </c>
      <c r="J1247" t="str">
        <f>"R$ 1.266,95"</f>
        <v>R$ 1.266,95</v>
      </c>
      <c r="K1247" t="str">
        <f>"R$ 6.190,46"</f>
        <v>R$ 6.190,46</v>
      </c>
    </row>
    <row r="1248" spans="1:11" x14ac:dyDescent="0.25">
      <c r="A1248" t="str">
        <f>"00009792 / 1"</f>
        <v>00009792 / 1</v>
      </c>
      <c r="B1248" t="str">
        <f>"13° Salário Anual"</f>
        <v>13° Salário Anual</v>
      </c>
      <c r="C1248" t="str">
        <f>"Maria do Socorro Rocha da Cunha"</f>
        <v>Maria do Socorro Rocha da Cunha</v>
      </c>
      <c r="D1248" t="str">
        <f>"PROFESSOR"</f>
        <v>PROFESSOR</v>
      </c>
      <c r="E1248" t="str">
        <f>"Efetivo-Inativo I- RJUSM"</f>
        <v>Efetivo-Inativo I- RJUSM</v>
      </c>
      <c r="F1248" t="str">
        <f>"R$ 2.230,85"</f>
        <v>R$ 2.230,85</v>
      </c>
      <c r="G1248" t="str">
        <f>"R$ 4.015,52"</f>
        <v>R$ 4.015,52</v>
      </c>
      <c r="H1248" t="str">
        <f t="shared" si="117"/>
        <v>R$ 0,00</v>
      </c>
      <c r="I1248" t="str">
        <f>"R$ 4.015,52"</f>
        <v>R$ 4.015,52</v>
      </c>
      <c r="J1248" t="str">
        <f>"R$ 2.275,12"</f>
        <v>R$ 2.275,12</v>
      </c>
      <c r="K1248" t="str">
        <f>"R$ 1.740,40"</f>
        <v>R$ 1.740,40</v>
      </c>
    </row>
    <row r="1249" spans="1:11" x14ac:dyDescent="0.25">
      <c r="A1249" t="str">
        <f>"00009792 / 1"</f>
        <v>00009792 / 1</v>
      </c>
      <c r="B1249" t="str">
        <f>"Folha Mensal"</f>
        <v>Folha Mensal</v>
      </c>
      <c r="C1249" t="str">
        <f>"Maria do Socorro Rocha da Cunha"</f>
        <v>Maria do Socorro Rocha da Cunha</v>
      </c>
      <c r="D1249" t="str">
        <f>"PROFESSOR"</f>
        <v>PROFESSOR</v>
      </c>
      <c r="E1249" t="str">
        <f>"Efetivo-Inativo I- RJUSM"</f>
        <v>Efetivo-Inativo I- RJUSM</v>
      </c>
      <c r="F1249" t="str">
        <f>"R$ 2.230,85"</f>
        <v>R$ 2.230,85</v>
      </c>
      <c r="G1249" t="str">
        <f>"R$ 4.015,52"</f>
        <v>R$ 4.015,52</v>
      </c>
      <c r="H1249" t="str">
        <f t="shared" si="117"/>
        <v>R$ 0,00</v>
      </c>
      <c r="I1249" t="str">
        <f>"R$ 4.015,52"</f>
        <v>R$ 4.015,52</v>
      </c>
      <c r="J1249" t="str">
        <f>"R$ 267,36"</f>
        <v>R$ 267,36</v>
      </c>
      <c r="K1249" t="str">
        <f>"R$ 3.748,16"</f>
        <v>R$ 3.748,16</v>
      </c>
    </row>
    <row r="1250" spans="1:11" x14ac:dyDescent="0.25">
      <c r="A1250" t="str">
        <f>"00053279 / 1"</f>
        <v>00053279 / 1</v>
      </c>
      <c r="B1250" t="str">
        <f>"13° Salário Anual"</f>
        <v>13° Salário Anual</v>
      </c>
      <c r="C1250" t="str">
        <f>"Maria do Socorro Soares"</f>
        <v>Maria do Socorro Soares</v>
      </c>
      <c r="D1250" t="str">
        <f>"PROP IDADE"</f>
        <v>PROP IDADE</v>
      </c>
      <c r="E1250" t="str">
        <f>"Efetivo-Inativo I- RJUSM"</f>
        <v>Efetivo-Inativo I- RJUSM</v>
      </c>
      <c r="F1250" t="str">
        <f>"R$ 835,94"</f>
        <v>R$ 835,94</v>
      </c>
      <c r="G1250" t="str">
        <f>"R$ 1.100,00"</f>
        <v>R$ 1.100,00</v>
      </c>
      <c r="H1250" t="str">
        <f t="shared" si="117"/>
        <v>R$ 0,00</v>
      </c>
      <c r="I1250" t="str">
        <f>"R$ 1.100,00"</f>
        <v>R$ 1.100,00</v>
      </c>
      <c r="J1250" t="str">
        <f>"R$ 550,00"</f>
        <v>R$ 550,00</v>
      </c>
      <c r="K1250" t="str">
        <f>"R$ 550,00"</f>
        <v>R$ 550,00</v>
      </c>
    </row>
    <row r="1251" spans="1:11" x14ac:dyDescent="0.25">
      <c r="A1251" t="str">
        <f>"00053279 / 1"</f>
        <v>00053279 / 1</v>
      </c>
      <c r="B1251" t="str">
        <f>"Folha Mensal"</f>
        <v>Folha Mensal</v>
      </c>
      <c r="C1251" t="str">
        <f>"Maria do Socorro Soares"</f>
        <v>Maria do Socorro Soares</v>
      </c>
      <c r="D1251" t="str">
        <f>"PROP IDADE"</f>
        <v>PROP IDADE</v>
      </c>
      <c r="E1251" t="str">
        <f>"Efetivo-Inativo I- RJUSM"</f>
        <v>Efetivo-Inativo I- RJUSM</v>
      </c>
      <c r="F1251" t="str">
        <f>"R$ 835,94"</f>
        <v>R$ 835,94</v>
      </c>
      <c r="G1251" t="str">
        <f>"R$ 1.100,00"</f>
        <v>R$ 1.100,00</v>
      </c>
      <c r="H1251" t="str">
        <f t="shared" si="117"/>
        <v>R$ 0,00</v>
      </c>
      <c r="I1251" t="str">
        <f>"R$ 1.100,00"</f>
        <v>R$ 1.100,00</v>
      </c>
      <c r="J1251" t="str">
        <f>"R$ 0,00"</f>
        <v>R$ 0,00</v>
      </c>
      <c r="K1251" t="str">
        <f>"R$ 1.100,00"</f>
        <v>R$ 1.100,00</v>
      </c>
    </row>
    <row r="1252" spans="1:11" x14ac:dyDescent="0.25">
      <c r="A1252" t="str">
        <f>"00001546 / 2"</f>
        <v>00001546 / 2</v>
      </c>
      <c r="B1252" t="str">
        <f>"13° Salário Anual"</f>
        <v>13° Salário Anual</v>
      </c>
      <c r="C1252" t="str">
        <f>"Maria do Socorro Soares da Rocha"</f>
        <v>Maria do Socorro Soares da Rocha</v>
      </c>
      <c r="D1252" t="str">
        <f>"PROFESSOR NIVEL I"</f>
        <v>PROFESSOR NIVEL I</v>
      </c>
      <c r="E1252" t="str">
        <f>"Efetivo-Inativos II-RJUSM"</f>
        <v>Efetivo-Inativos II-RJUSM</v>
      </c>
      <c r="F1252" t="str">
        <f>"R$ 3.386,11"</f>
        <v>R$ 3.386,11</v>
      </c>
      <c r="G1252" t="str">
        <f>"R$ 4.401,94"</f>
        <v>R$ 4.401,94</v>
      </c>
      <c r="H1252" t="str">
        <f t="shared" si="117"/>
        <v>R$ 0,00</v>
      </c>
      <c r="I1252" t="str">
        <f>"R$ 4.401,94"</f>
        <v>R$ 4.401,94</v>
      </c>
      <c r="J1252" t="str">
        <f>"R$ 2.200,97"</f>
        <v>R$ 2.200,97</v>
      </c>
      <c r="K1252" t="str">
        <f>"R$ 2.200,97"</f>
        <v>R$ 2.200,97</v>
      </c>
    </row>
    <row r="1253" spans="1:11" x14ac:dyDescent="0.25">
      <c r="A1253" t="str">
        <f>"00001546 / 2"</f>
        <v>00001546 / 2</v>
      </c>
      <c r="B1253" t="str">
        <f>"Folha Mensal"</f>
        <v>Folha Mensal</v>
      </c>
      <c r="C1253" t="str">
        <f>"Maria do Socorro Soares da Rocha"</f>
        <v>Maria do Socorro Soares da Rocha</v>
      </c>
      <c r="D1253" t="str">
        <f>"PROFESSOR NIVEL I"</f>
        <v>PROFESSOR NIVEL I</v>
      </c>
      <c r="E1253" t="str">
        <f>"Efetivo-Inativos II-RJUSM"</f>
        <v>Efetivo-Inativos II-RJUSM</v>
      </c>
      <c r="F1253" t="str">
        <f>"R$ 3.386,11"</f>
        <v>R$ 3.386,11</v>
      </c>
      <c r="G1253" t="str">
        <f>"R$ 4.401,94"</f>
        <v>R$ 4.401,94</v>
      </c>
      <c r="H1253" t="str">
        <f t="shared" si="117"/>
        <v>R$ 0,00</v>
      </c>
      <c r="I1253" t="str">
        <f>"R$ 4.401,94"</f>
        <v>R$ 4.401,94</v>
      </c>
      <c r="J1253" t="str">
        <f>"R$ 1.533,52"</f>
        <v>R$ 1.533,52</v>
      </c>
      <c r="K1253" t="str">
        <f>"R$ 2.868,42"</f>
        <v>R$ 2.868,42</v>
      </c>
    </row>
    <row r="1254" spans="1:11" x14ac:dyDescent="0.25">
      <c r="A1254" t="str">
        <f>"00053163 / 1"</f>
        <v>00053163 / 1</v>
      </c>
      <c r="B1254" t="str">
        <f>"13° Salário Anual"</f>
        <v>13° Salário Anual</v>
      </c>
      <c r="C1254" t="str">
        <f>"Maria do Socorro Sousa de Menezes"</f>
        <v>Maria do Socorro Sousa de Menezes</v>
      </c>
      <c r="D1254" t="str">
        <f>"PROFESSOR NIVEL III"</f>
        <v>PROFESSOR NIVEL III</v>
      </c>
      <c r="E1254" t="str">
        <f>"Efetivo-Inativos II-RJUSM"</f>
        <v>Efetivo-Inativos II-RJUSM</v>
      </c>
      <c r="F1254" t="str">
        <f>"R$ 4.647,60"</f>
        <v>R$ 4.647,60</v>
      </c>
      <c r="G1254" t="str">
        <f>"R$ 5.577,12"</f>
        <v>R$ 5.577,12</v>
      </c>
      <c r="H1254" t="str">
        <f t="shared" si="117"/>
        <v>R$ 0,00</v>
      </c>
      <c r="I1254" t="str">
        <f>"R$ 5.577,12"</f>
        <v>R$ 5.577,12</v>
      </c>
      <c r="J1254" t="str">
        <f>"R$ 3.400,77"</f>
        <v>R$ 3.400,77</v>
      </c>
      <c r="K1254" t="str">
        <f>"R$ 2.176,35"</f>
        <v>R$ 2.176,35</v>
      </c>
    </row>
    <row r="1255" spans="1:11" x14ac:dyDescent="0.25">
      <c r="A1255" t="str">
        <f>"00053163 / 1"</f>
        <v>00053163 / 1</v>
      </c>
      <c r="B1255" t="str">
        <f>"Folha Mensal"</f>
        <v>Folha Mensal</v>
      </c>
      <c r="C1255" t="str">
        <f>"Maria do Socorro Sousa de Menezes"</f>
        <v>Maria do Socorro Sousa de Menezes</v>
      </c>
      <c r="D1255" t="str">
        <f>"PROFESSOR NIVEL III"</f>
        <v>PROFESSOR NIVEL III</v>
      </c>
      <c r="E1255" t="str">
        <f>"Efetivo-Inativos II-RJUSM"</f>
        <v>Efetivo-Inativos II-RJUSM</v>
      </c>
      <c r="F1255" t="str">
        <f>"R$ 4.647,60"</f>
        <v>R$ 4.647,60</v>
      </c>
      <c r="G1255" t="str">
        <f>"R$ 5.577,12"</f>
        <v>R$ 5.577,12</v>
      </c>
      <c r="H1255" t="str">
        <f t="shared" si="117"/>
        <v>R$ 0,00</v>
      </c>
      <c r="I1255" t="str">
        <f>"R$ 5.577,12"</f>
        <v>R$ 5.577,12</v>
      </c>
      <c r="J1255" t="str">
        <f>"R$ 612,21"</f>
        <v>R$ 612,21</v>
      </c>
      <c r="K1255" t="str">
        <f>"R$ 4.964,91"</f>
        <v>R$ 4.964,91</v>
      </c>
    </row>
    <row r="1256" spans="1:11" x14ac:dyDescent="0.25">
      <c r="A1256" t="str">
        <f>"00000655 / 1"</f>
        <v>00000655 / 1</v>
      </c>
      <c r="B1256" t="str">
        <f>"13° Salário Anual"</f>
        <v>13° Salário Anual</v>
      </c>
      <c r="C1256" t="str">
        <f>"Maria do Socorro Vieira Tabosa"</f>
        <v>Maria do Socorro Vieira Tabosa</v>
      </c>
      <c r="D1256" t="str">
        <f>"PROFESSOR NIVEL II"</f>
        <v>PROFESSOR NIVEL II</v>
      </c>
      <c r="E1256" t="str">
        <f>"Efetivo-Inativo I- RJUSM"</f>
        <v>Efetivo-Inativo I- RJUSM</v>
      </c>
      <c r="F1256" t="str">
        <f>"R$ 2.759,72"</f>
        <v>R$ 2.759,72</v>
      </c>
      <c r="G1256" t="str">
        <f>"R$ 3.587,63"</f>
        <v>R$ 3.587,63</v>
      </c>
      <c r="H1256" t="str">
        <f t="shared" si="117"/>
        <v>R$ 0,00</v>
      </c>
      <c r="I1256" t="str">
        <f>"R$ 3.587,63"</f>
        <v>R$ 3.587,63</v>
      </c>
      <c r="J1256" t="str">
        <f>"R$ 1.977,15"</f>
        <v>R$ 1.977,15</v>
      </c>
      <c r="K1256" t="str">
        <f>"R$ 1.610,48"</f>
        <v>R$ 1.610,48</v>
      </c>
    </row>
    <row r="1257" spans="1:11" x14ac:dyDescent="0.25">
      <c r="A1257" t="str">
        <f>"00000655 / 1"</f>
        <v>00000655 / 1</v>
      </c>
      <c r="B1257" t="str">
        <f>"Folha Mensal"</f>
        <v>Folha Mensal</v>
      </c>
      <c r="C1257" t="str">
        <f>"Maria do Socorro Vieira Tabosa"</f>
        <v>Maria do Socorro Vieira Tabosa</v>
      </c>
      <c r="D1257" t="str">
        <f>"PROFESSOR NIVEL II"</f>
        <v>PROFESSOR NIVEL II</v>
      </c>
      <c r="E1257" t="str">
        <f>"Efetivo-Inativo I- RJUSM"</f>
        <v>Efetivo-Inativo I- RJUSM</v>
      </c>
      <c r="F1257" t="str">
        <f>"R$ 2.759,72"</f>
        <v>R$ 2.759,72</v>
      </c>
      <c r="G1257" t="str">
        <f>"R$ 3.587,63"</f>
        <v>R$ 3.587,63</v>
      </c>
      <c r="H1257" t="str">
        <f t="shared" si="117"/>
        <v>R$ 0,00</v>
      </c>
      <c r="I1257" t="str">
        <f>"R$ 3.587,63"</f>
        <v>R$ 3.587,63</v>
      </c>
      <c r="J1257" t="str">
        <f>"R$ 183,34"</f>
        <v>R$ 183,34</v>
      </c>
      <c r="K1257" t="str">
        <f>"R$ 3.404,29"</f>
        <v>R$ 3.404,29</v>
      </c>
    </row>
    <row r="1258" spans="1:11" x14ac:dyDescent="0.25">
      <c r="A1258" t="str">
        <f>"00036102 / 1"</f>
        <v>00036102 / 1</v>
      </c>
      <c r="B1258" t="str">
        <f>"13° Salário Anual"</f>
        <v>13° Salário Anual</v>
      </c>
      <c r="C1258" t="str">
        <f>"Maria do Socorro Xavier da Silva"</f>
        <v>Maria do Socorro Xavier da Silva</v>
      </c>
      <c r="D1258" t="str">
        <f>"PROFESSOR NIVEL II"</f>
        <v>PROFESSOR NIVEL II</v>
      </c>
      <c r="E1258" t="str">
        <f>"Efetivo-Inativos II-RJUSM"</f>
        <v>Efetivo-Inativos II-RJUSM</v>
      </c>
      <c r="F1258" t="str">
        <f>"R$ 5.736,47"</f>
        <v>R$ 5.736,47</v>
      </c>
      <c r="G1258" t="str">
        <f>"R$ 7.170,58"</f>
        <v>R$ 7.170,58</v>
      </c>
      <c r="H1258" t="str">
        <f t="shared" si="117"/>
        <v>R$ 0,00</v>
      </c>
      <c r="I1258" t="str">
        <f>"R$ 7.170,58"</f>
        <v>R$ 7.170,58</v>
      </c>
      <c r="J1258" t="str">
        <f>"R$ 4.692,11"</f>
        <v>R$ 4.692,11</v>
      </c>
      <c r="K1258" t="str">
        <f>"R$ 2.478,47"</f>
        <v>R$ 2.478,47</v>
      </c>
    </row>
    <row r="1259" spans="1:11" x14ac:dyDescent="0.25">
      <c r="A1259" t="str">
        <f>"00036102 / 1"</f>
        <v>00036102 / 1</v>
      </c>
      <c r="B1259" t="str">
        <f>"Folha Mensal"</f>
        <v>Folha Mensal</v>
      </c>
      <c r="C1259" t="str">
        <f>"Maria do Socorro Xavier da Silva"</f>
        <v>Maria do Socorro Xavier da Silva</v>
      </c>
      <c r="D1259" t="str">
        <f>"PROFESSOR NIVEL II"</f>
        <v>PROFESSOR NIVEL II</v>
      </c>
      <c r="E1259" t="str">
        <f>"Efetivo-Inativos II-RJUSM"</f>
        <v>Efetivo-Inativos II-RJUSM</v>
      </c>
      <c r="F1259" t="str">
        <f>"R$ 5.736,47"</f>
        <v>R$ 5.736,47</v>
      </c>
      <c r="G1259" t="str">
        <f>"R$ 7.170,58"</f>
        <v>R$ 7.170,58</v>
      </c>
      <c r="H1259" t="str">
        <f t="shared" si="117"/>
        <v>R$ 0,00</v>
      </c>
      <c r="I1259" t="str">
        <f>"R$ 7.170,58"</f>
        <v>R$ 7.170,58</v>
      </c>
      <c r="J1259" t="str">
        <f>"R$ 2.932,92"</f>
        <v>R$ 2.932,92</v>
      </c>
      <c r="K1259" t="str">
        <f>"R$ 4.237,66"</f>
        <v>R$ 4.237,66</v>
      </c>
    </row>
    <row r="1260" spans="1:11" x14ac:dyDescent="0.25">
      <c r="A1260" t="str">
        <f>"00002097 / 1"</f>
        <v>00002097 / 1</v>
      </c>
      <c r="B1260" t="str">
        <f>"13° Salário Anual"</f>
        <v>13° Salário Anual</v>
      </c>
      <c r="C1260" t="str">
        <f>"Maria Dolores Penha da Rocha"</f>
        <v>Maria Dolores Penha da Rocha</v>
      </c>
      <c r="D1260" t="str">
        <f>"PROFESSOR"</f>
        <v>PROFESSOR</v>
      </c>
      <c r="E1260" t="str">
        <f t="shared" ref="E1260:E1273" si="121">"Efetivo-Inativo I- RJUSM"</f>
        <v>Efetivo-Inativo I- RJUSM</v>
      </c>
      <c r="F1260" t="str">
        <f>"R$ 1.593,46"</f>
        <v>R$ 1.593,46</v>
      </c>
      <c r="G1260" t="str">
        <f>"R$ 1.991,82"</f>
        <v>R$ 1.991,82</v>
      </c>
      <c r="H1260" t="str">
        <f t="shared" si="117"/>
        <v>R$ 0,00</v>
      </c>
      <c r="I1260" t="str">
        <f>"R$ 1.991,82"</f>
        <v>R$ 1.991,82</v>
      </c>
      <c r="J1260" t="str">
        <f>"R$ 995,91"</f>
        <v>R$ 995,91</v>
      </c>
      <c r="K1260" t="str">
        <f>"R$ 995,91"</f>
        <v>R$ 995,91</v>
      </c>
    </row>
    <row r="1261" spans="1:11" x14ac:dyDescent="0.25">
      <c r="A1261" t="str">
        <f>"00002097 / 1"</f>
        <v>00002097 / 1</v>
      </c>
      <c r="B1261" t="str">
        <f>"Folha Mensal"</f>
        <v>Folha Mensal</v>
      </c>
      <c r="C1261" t="str">
        <f>"Maria Dolores Penha da Rocha"</f>
        <v>Maria Dolores Penha da Rocha</v>
      </c>
      <c r="D1261" t="str">
        <f>"PROFESSOR"</f>
        <v>PROFESSOR</v>
      </c>
      <c r="E1261" t="str">
        <f t="shared" si="121"/>
        <v>Efetivo-Inativo I- RJUSM</v>
      </c>
      <c r="F1261" t="str">
        <f>"R$ 1.593,46"</f>
        <v>R$ 1.593,46</v>
      </c>
      <c r="G1261" t="str">
        <f>"R$ 1.991,82"</f>
        <v>R$ 1.991,82</v>
      </c>
      <c r="H1261" t="str">
        <f t="shared" si="117"/>
        <v>R$ 0,00</v>
      </c>
      <c r="I1261" t="str">
        <f>"R$ 1.991,82"</f>
        <v>R$ 1.991,82</v>
      </c>
      <c r="J1261" t="str">
        <f>"R$ 484,05"</f>
        <v>R$ 484,05</v>
      </c>
      <c r="K1261" t="str">
        <f>"R$ 1.507,77"</f>
        <v>R$ 1.507,77</v>
      </c>
    </row>
    <row r="1262" spans="1:11" x14ac:dyDescent="0.25">
      <c r="A1262" t="str">
        <f>"00005223 / 1"</f>
        <v>00005223 / 1</v>
      </c>
      <c r="B1262" t="str">
        <f>"13° Salário Anual"</f>
        <v>13° Salário Anual</v>
      </c>
      <c r="C1262" t="str">
        <f>"Maria Domingas Braga Favacho"</f>
        <v>Maria Domingas Braga Favacho</v>
      </c>
      <c r="D1262" t="str">
        <f>"PROP IDADE"</f>
        <v>PROP IDADE</v>
      </c>
      <c r="E1262" t="str">
        <f t="shared" si="121"/>
        <v>Efetivo-Inativo I- RJUSM</v>
      </c>
      <c r="F1262" t="str">
        <f>"R$ 1.100,00"</f>
        <v>R$ 1.100,00</v>
      </c>
      <c r="G1262" t="str">
        <f>"R$ 1.100,00"</f>
        <v>R$ 1.100,00</v>
      </c>
      <c r="H1262" t="str">
        <f t="shared" si="117"/>
        <v>R$ 0,00</v>
      </c>
      <c r="I1262" t="str">
        <f>"R$ 1.100,00"</f>
        <v>R$ 1.100,00</v>
      </c>
      <c r="J1262" t="str">
        <f>"R$ 550,00"</f>
        <v>R$ 550,00</v>
      </c>
      <c r="K1262" t="str">
        <f>"R$ 550,00"</f>
        <v>R$ 550,00</v>
      </c>
    </row>
    <row r="1263" spans="1:11" x14ac:dyDescent="0.25">
      <c r="A1263" t="str">
        <f>"00005223 / 1"</f>
        <v>00005223 / 1</v>
      </c>
      <c r="B1263" t="str">
        <f>"Folha Mensal"</f>
        <v>Folha Mensal</v>
      </c>
      <c r="C1263" t="str">
        <f>"Maria Domingas Braga Favacho"</f>
        <v>Maria Domingas Braga Favacho</v>
      </c>
      <c r="D1263" t="str">
        <f>"PROP IDADE"</f>
        <v>PROP IDADE</v>
      </c>
      <c r="E1263" t="str">
        <f t="shared" si="121"/>
        <v>Efetivo-Inativo I- RJUSM</v>
      </c>
      <c r="F1263" t="str">
        <f>"R$ 1.100,00"</f>
        <v>R$ 1.100,00</v>
      </c>
      <c r="G1263" t="str">
        <f>"R$ 1.100,00"</f>
        <v>R$ 1.100,00</v>
      </c>
      <c r="H1263" t="str">
        <f t="shared" si="117"/>
        <v>R$ 0,00</v>
      </c>
      <c r="I1263" t="str">
        <f>"R$ 1.100,00"</f>
        <v>R$ 1.100,00</v>
      </c>
      <c r="J1263" t="str">
        <f>"R$ 0,00"</f>
        <v>R$ 0,00</v>
      </c>
      <c r="K1263" t="str">
        <f>"R$ 1.100,00"</f>
        <v>R$ 1.100,00</v>
      </c>
    </row>
    <row r="1264" spans="1:11" x14ac:dyDescent="0.25">
      <c r="A1264" t="str">
        <f>"00001139 / 1"</f>
        <v>00001139 / 1</v>
      </c>
      <c r="B1264" t="str">
        <f>"13° Salário Anual"</f>
        <v>13° Salário Anual</v>
      </c>
      <c r="C1264" t="str">
        <f>"Maria dos Santos Saraiva"</f>
        <v>Maria dos Santos Saraiva</v>
      </c>
      <c r="D1264" t="str">
        <f>"INT INVALIDEZ"</f>
        <v>INT INVALIDEZ</v>
      </c>
      <c r="E1264" t="str">
        <f t="shared" si="121"/>
        <v>Efetivo-Inativo I- RJUSM</v>
      </c>
      <c r="F1264" t="str">
        <f>"R$ 1.100,00"</f>
        <v>R$ 1.100,00</v>
      </c>
      <c r="G1264" t="str">
        <f>"R$ 1.210,00"</f>
        <v>R$ 1.210,00</v>
      </c>
      <c r="H1264" t="str">
        <f t="shared" si="117"/>
        <v>R$ 0,00</v>
      </c>
      <c r="I1264" t="str">
        <f>"R$ 1.210,00"</f>
        <v>R$ 1.210,00</v>
      </c>
      <c r="J1264" t="str">
        <f>"R$ 605,00"</f>
        <v>R$ 605,00</v>
      </c>
      <c r="K1264" t="str">
        <f>"R$ 605,00"</f>
        <v>R$ 605,00</v>
      </c>
    </row>
    <row r="1265" spans="1:11" x14ac:dyDescent="0.25">
      <c r="A1265" t="str">
        <f>"00001139 / 1"</f>
        <v>00001139 / 1</v>
      </c>
      <c r="B1265" t="str">
        <f>"Folha Mensal"</f>
        <v>Folha Mensal</v>
      </c>
      <c r="C1265" t="str">
        <f>"Maria dos Santos Saraiva"</f>
        <v>Maria dos Santos Saraiva</v>
      </c>
      <c r="D1265" t="str">
        <f>"INT INVALIDEZ"</f>
        <v>INT INVALIDEZ</v>
      </c>
      <c r="E1265" t="str">
        <f t="shared" si="121"/>
        <v>Efetivo-Inativo I- RJUSM</v>
      </c>
      <c r="F1265" t="str">
        <f>"R$ 1.100,00"</f>
        <v>R$ 1.100,00</v>
      </c>
      <c r="G1265" t="str">
        <f>"R$ 1.210,00"</f>
        <v>R$ 1.210,00</v>
      </c>
      <c r="H1265" t="str">
        <f t="shared" si="117"/>
        <v>R$ 0,00</v>
      </c>
      <c r="I1265" t="str">
        <f>"R$ 1.210,00"</f>
        <v>R$ 1.210,00</v>
      </c>
      <c r="J1265" t="str">
        <f>"R$ 0,00"</f>
        <v>R$ 0,00</v>
      </c>
      <c r="K1265" t="str">
        <f>"R$ 1.210,00"</f>
        <v>R$ 1.210,00</v>
      </c>
    </row>
    <row r="1266" spans="1:11" x14ac:dyDescent="0.25">
      <c r="A1266" t="str">
        <f>"00025208 / 1"</f>
        <v>00025208 / 1</v>
      </c>
      <c r="B1266" t="str">
        <f>"13° Salário Anual"</f>
        <v>13° Salário Anual</v>
      </c>
      <c r="C1266" t="str">
        <f>"Maria Edilamar Marques Santana"</f>
        <v>Maria Edilamar Marques Santana</v>
      </c>
      <c r="D1266" t="str">
        <f>"PROFESSOR"</f>
        <v>PROFESSOR</v>
      </c>
      <c r="E1266" t="str">
        <f t="shared" si="121"/>
        <v>Efetivo-Inativo I- RJUSM</v>
      </c>
      <c r="F1266" t="str">
        <f>"R$ 1.593,46"</f>
        <v>R$ 1.593,46</v>
      </c>
      <c r="G1266" t="str">
        <f>"R$ 1.991,82"</f>
        <v>R$ 1.991,82</v>
      </c>
      <c r="H1266" t="str">
        <f t="shared" ref="H1266:H1310" si="122">"R$ 0,00"</f>
        <v>R$ 0,00</v>
      </c>
      <c r="I1266" t="str">
        <f>"R$ 1.991,82"</f>
        <v>R$ 1.991,82</v>
      </c>
      <c r="J1266" t="str">
        <f>"R$ 995,91"</f>
        <v>R$ 995,91</v>
      </c>
      <c r="K1266" t="str">
        <f>"R$ 995,91"</f>
        <v>R$ 995,91</v>
      </c>
    </row>
    <row r="1267" spans="1:11" x14ac:dyDescent="0.25">
      <c r="A1267" t="str">
        <f>"00025208 / 1"</f>
        <v>00025208 / 1</v>
      </c>
      <c r="B1267" t="str">
        <f>"Folha Mensal"</f>
        <v>Folha Mensal</v>
      </c>
      <c r="C1267" t="str">
        <f>"Maria Edilamar Marques Santana"</f>
        <v>Maria Edilamar Marques Santana</v>
      </c>
      <c r="D1267" t="str">
        <f>"PROFESSOR"</f>
        <v>PROFESSOR</v>
      </c>
      <c r="E1267" t="str">
        <f t="shared" si="121"/>
        <v>Efetivo-Inativo I- RJUSM</v>
      </c>
      <c r="F1267" t="str">
        <f>"R$ 1.593,46"</f>
        <v>R$ 1.593,46</v>
      </c>
      <c r="G1267" t="str">
        <f>"R$ 1.991,82"</f>
        <v>R$ 1.991,82</v>
      </c>
      <c r="H1267" t="str">
        <f t="shared" si="122"/>
        <v>R$ 0,00</v>
      </c>
      <c r="I1267" t="str">
        <f>"R$ 1.991,82"</f>
        <v>R$ 1.991,82</v>
      </c>
      <c r="J1267" t="str">
        <f>"R$ 695,76"</f>
        <v>R$ 695,76</v>
      </c>
      <c r="K1267" t="str">
        <f>"R$ 1.296,06"</f>
        <v>R$ 1.296,06</v>
      </c>
    </row>
    <row r="1268" spans="1:11" x14ac:dyDescent="0.25">
      <c r="A1268" t="str">
        <f>"00002003 / 1"</f>
        <v>00002003 / 1</v>
      </c>
      <c r="B1268" t="str">
        <f>"13° Salário Anual"</f>
        <v>13° Salário Anual</v>
      </c>
      <c r="C1268" t="str">
        <f>"Maria Edite Nogueira"</f>
        <v>Maria Edite Nogueira</v>
      </c>
      <c r="D1268" t="str">
        <f>"PROP IDADE"</f>
        <v>PROP IDADE</v>
      </c>
      <c r="E1268" t="str">
        <f t="shared" si="121"/>
        <v>Efetivo-Inativo I- RJUSM</v>
      </c>
      <c r="F1268" t="str">
        <f>"R$ 520,46"</f>
        <v>R$ 520,46</v>
      </c>
      <c r="G1268" t="str">
        <f>"R$ 1.100,00"</f>
        <v>R$ 1.100,00</v>
      </c>
      <c r="H1268" t="str">
        <f t="shared" si="122"/>
        <v>R$ 0,00</v>
      </c>
      <c r="I1268" t="str">
        <f>"R$ 1.100,00"</f>
        <v>R$ 1.100,00</v>
      </c>
      <c r="J1268" t="str">
        <f>"R$ 550,00"</f>
        <v>R$ 550,00</v>
      </c>
      <c r="K1268" t="str">
        <f>"R$ 550,00"</f>
        <v>R$ 550,00</v>
      </c>
    </row>
    <row r="1269" spans="1:11" x14ac:dyDescent="0.25">
      <c r="A1269" t="str">
        <f>"00002003 / 1"</f>
        <v>00002003 / 1</v>
      </c>
      <c r="B1269" t="str">
        <f>"Folha Mensal"</f>
        <v>Folha Mensal</v>
      </c>
      <c r="C1269" t="str">
        <f>"Maria Edite Nogueira"</f>
        <v>Maria Edite Nogueira</v>
      </c>
      <c r="D1269" t="str">
        <f>"PROP IDADE"</f>
        <v>PROP IDADE</v>
      </c>
      <c r="E1269" t="str">
        <f t="shared" si="121"/>
        <v>Efetivo-Inativo I- RJUSM</v>
      </c>
      <c r="F1269" t="str">
        <f>"R$ 520,46"</f>
        <v>R$ 520,46</v>
      </c>
      <c r="G1269" t="str">
        <f>"R$ 1.100,00"</f>
        <v>R$ 1.100,00</v>
      </c>
      <c r="H1269" t="str">
        <f t="shared" si="122"/>
        <v>R$ 0,00</v>
      </c>
      <c r="I1269" t="str">
        <f>"R$ 1.100,00"</f>
        <v>R$ 1.100,00</v>
      </c>
      <c r="J1269" t="str">
        <f>"R$ 0,00"</f>
        <v>R$ 0,00</v>
      </c>
      <c r="K1269" t="str">
        <f>"R$ 1.100,00"</f>
        <v>R$ 1.100,00</v>
      </c>
    </row>
    <row r="1270" spans="1:11" x14ac:dyDescent="0.25">
      <c r="A1270" t="str">
        <f>"00013358 / 1"</f>
        <v>00013358 / 1</v>
      </c>
      <c r="B1270" t="str">
        <f>"13° Salário Anual"</f>
        <v>13° Salário Anual</v>
      </c>
      <c r="C1270" t="str">
        <f>"Maria Edna da Silva Mendes"</f>
        <v>Maria Edna da Silva Mendes</v>
      </c>
      <c r="D1270" t="str">
        <f>"PROP IDADE"</f>
        <v>PROP IDADE</v>
      </c>
      <c r="E1270" t="str">
        <f t="shared" si="121"/>
        <v>Efetivo-Inativo I- RJUSM</v>
      </c>
      <c r="F1270" t="str">
        <f>"R$ 1.100,00"</f>
        <v>R$ 1.100,00</v>
      </c>
      <c r="G1270" t="str">
        <f>"R$ 1.100,00"</f>
        <v>R$ 1.100,00</v>
      </c>
      <c r="H1270" t="str">
        <f t="shared" si="122"/>
        <v>R$ 0,00</v>
      </c>
      <c r="I1270" t="str">
        <f>"R$ 1.100,00"</f>
        <v>R$ 1.100,00</v>
      </c>
      <c r="J1270" t="str">
        <f>"R$ 550,00"</f>
        <v>R$ 550,00</v>
      </c>
      <c r="K1270" t="str">
        <f>"R$ 550,00"</f>
        <v>R$ 550,00</v>
      </c>
    </row>
    <row r="1271" spans="1:11" x14ac:dyDescent="0.25">
      <c r="A1271" t="str">
        <f>"00013358 / 1"</f>
        <v>00013358 / 1</v>
      </c>
      <c r="B1271" t="str">
        <f>"Folha Mensal"</f>
        <v>Folha Mensal</v>
      </c>
      <c r="C1271" t="str">
        <f>"Maria Edna da Silva Mendes"</f>
        <v>Maria Edna da Silva Mendes</v>
      </c>
      <c r="D1271" t="str">
        <f>"PROP IDADE"</f>
        <v>PROP IDADE</v>
      </c>
      <c r="E1271" t="str">
        <f t="shared" si="121"/>
        <v>Efetivo-Inativo I- RJUSM</v>
      </c>
      <c r="F1271" t="str">
        <f>"R$ 1.100,00"</f>
        <v>R$ 1.100,00</v>
      </c>
      <c r="G1271" t="str">
        <f>"R$ 1.100,00"</f>
        <v>R$ 1.100,00</v>
      </c>
      <c r="H1271" t="str">
        <f t="shared" si="122"/>
        <v>R$ 0,00</v>
      </c>
      <c r="I1271" t="str">
        <f>"R$ 1.100,00"</f>
        <v>R$ 1.100,00</v>
      </c>
      <c r="J1271" t="str">
        <f>"R$ 330,84"</f>
        <v>R$ 330,84</v>
      </c>
      <c r="K1271" t="str">
        <f>"R$ 769,16"</f>
        <v>R$ 769,16</v>
      </c>
    </row>
    <row r="1272" spans="1:11" x14ac:dyDescent="0.25">
      <c r="A1272" t="str">
        <f>"00002917 / 1"</f>
        <v>00002917 / 1</v>
      </c>
      <c r="B1272" t="str">
        <f>"13° Salário Anual"</f>
        <v>13° Salário Anual</v>
      </c>
      <c r="C1272" t="str">
        <f>"Maria Elena de Oliveira Pinheiro"</f>
        <v>Maria Elena de Oliveira Pinheiro</v>
      </c>
      <c r="D1272" t="str">
        <f>"PROFESSOR"</f>
        <v>PROFESSOR</v>
      </c>
      <c r="E1272" t="str">
        <f t="shared" si="121"/>
        <v>Efetivo-Inativo I- RJUSM</v>
      </c>
      <c r="F1272" t="str">
        <f>"R$ 1.593,46"</f>
        <v>R$ 1.593,46</v>
      </c>
      <c r="G1272" t="str">
        <f>"R$ 1.991,82"</f>
        <v>R$ 1.991,82</v>
      </c>
      <c r="H1272" t="str">
        <f t="shared" si="122"/>
        <v>R$ 0,00</v>
      </c>
      <c r="I1272" t="str">
        <f>"R$ 1.991,82"</f>
        <v>R$ 1.991,82</v>
      </c>
      <c r="J1272" t="str">
        <f>"R$ 995,91"</f>
        <v>R$ 995,91</v>
      </c>
      <c r="K1272" t="str">
        <f>"R$ 995,91"</f>
        <v>R$ 995,91</v>
      </c>
    </row>
    <row r="1273" spans="1:11" x14ac:dyDescent="0.25">
      <c r="A1273" t="str">
        <f>"00002917 / 1"</f>
        <v>00002917 / 1</v>
      </c>
      <c r="B1273" t="str">
        <f>"Folha Mensal"</f>
        <v>Folha Mensal</v>
      </c>
      <c r="C1273" t="str">
        <f>"Maria Elena de Oliveira Pinheiro"</f>
        <v>Maria Elena de Oliveira Pinheiro</v>
      </c>
      <c r="D1273" t="str">
        <f>"PROFESSOR"</f>
        <v>PROFESSOR</v>
      </c>
      <c r="E1273" t="str">
        <f t="shared" si="121"/>
        <v>Efetivo-Inativo I- RJUSM</v>
      </c>
      <c r="F1273" t="str">
        <f>"R$ 1.593,46"</f>
        <v>R$ 1.593,46</v>
      </c>
      <c r="G1273" t="str">
        <f>"R$ 1.991,82"</f>
        <v>R$ 1.991,82</v>
      </c>
      <c r="H1273" t="str">
        <f t="shared" si="122"/>
        <v>R$ 0,00</v>
      </c>
      <c r="I1273" t="str">
        <f>"R$ 1.991,82"</f>
        <v>R$ 1.991,82</v>
      </c>
      <c r="J1273" t="str">
        <f>"R$ 0,00"</f>
        <v>R$ 0,00</v>
      </c>
      <c r="K1273" t="str">
        <f>"R$ 1.991,82"</f>
        <v>R$ 1.991,82</v>
      </c>
    </row>
    <row r="1274" spans="1:11" x14ac:dyDescent="0.25">
      <c r="A1274" t="str">
        <f>"00166863 / 1"</f>
        <v>00166863 / 1</v>
      </c>
      <c r="B1274" t="str">
        <f>"13° Salário Anual"</f>
        <v>13° Salário Anual</v>
      </c>
      <c r="C1274" t="str">
        <f>"Maria Eliana Cunha Monteiro"</f>
        <v>Maria Eliana Cunha Monteiro</v>
      </c>
      <c r="D1274" t="str">
        <f>"AUXILIAR MUNICIPAL"</f>
        <v>AUXILIAR MUNICIPAL</v>
      </c>
      <c r="E1274" t="str">
        <f>"Efetivo-Inativos II-RJUSM"</f>
        <v>Efetivo-Inativos II-RJUSM</v>
      </c>
      <c r="F1274" t="str">
        <f>"R$ 1.100,00"</f>
        <v>R$ 1.100,00</v>
      </c>
      <c r="G1274" t="str">
        <f>"R$ 1.100,00"</f>
        <v>R$ 1.100,00</v>
      </c>
      <c r="H1274" t="str">
        <f t="shared" si="122"/>
        <v>R$ 0,00</v>
      </c>
      <c r="I1274" t="str">
        <f>"R$ 1.100,00"</f>
        <v>R$ 1.100,00</v>
      </c>
      <c r="J1274" t="str">
        <f>"R$ 550,00"</f>
        <v>R$ 550,00</v>
      </c>
      <c r="K1274" t="str">
        <f>"R$ 550,00"</f>
        <v>R$ 550,00</v>
      </c>
    </row>
    <row r="1275" spans="1:11" x14ac:dyDescent="0.25">
      <c r="A1275" t="str">
        <f>"00166863 / 1"</f>
        <v>00166863 / 1</v>
      </c>
      <c r="B1275" t="str">
        <f>"Folha Mensal"</f>
        <v>Folha Mensal</v>
      </c>
      <c r="C1275" t="str">
        <f>"Maria Eliana Cunha Monteiro"</f>
        <v>Maria Eliana Cunha Monteiro</v>
      </c>
      <c r="D1275" t="str">
        <f>"AUXILIAR MUNICIPAL"</f>
        <v>AUXILIAR MUNICIPAL</v>
      </c>
      <c r="E1275" t="str">
        <f>"Efetivo-Inativos II-RJUSM"</f>
        <v>Efetivo-Inativos II-RJUSM</v>
      </c>
      <c r="F1275" t="str">
        <f>"R$ 1.100,00"</f>
        <v>R$ 1.100,00</v>
      </c>
      <c r="G1275" t="str">
        <f>"R$ 1.100,00"</f>
        <v>R$ 1.100,00</v>
      </c>
      <c r="H1275" t="str">
        <f t="shared" si="122"/>
        <v>R$ 0,00</v>
      </c>
      <c r="I1275" t="str">
        <f>"R$ 1.100,00"</f>
        <v>R$ 1.100,00</v>
      </c>
      <c r="J1275" t="str">
        <f>"R$ 311,95"</f>
        <v>R$ 311,95</v>
      </c>
      <c r="K1275" t="str">
        <f>"R$ 788,05"</f>
        <v>R$ 788,05</v>
      </c>
    </row>
    <row r="1276" spans="1:11" x14ac:dyDescent="0.25">
      <c r="A1276" t="str">
        <f>"00001376 / 1"</f>
        <v>00001376 / 1</v>
      </c>
      <c r="B1276" t="str">
        <f>"13° Salário Anual"</f>
        <v>13° Salário Anual</v>
      </c>
      <c r="C1276" t="str">
        <f>"Maria Eliza da Silva Oliveira"</f>
        <v>Maria Eliza da Silva Oliveira</v>
      </c>
      <c r="D1276" t="str">
        <f>"INT TEMP CONTRIBUICAO"</f>
        <v>INT TEMP CONTRIBUICAO</v>
      </c>
      <c r="E1276" t="str">
        <f t="shared" ref="E1276:E1285" si="123">"Efetivo-Inativo I- RJUSM"</f>
        <v>Efetivo-Inativo I- RJUSM</v>
      </c>
      <c r="F1276" t="str">
        <f>"R$ 1.100,00"</f>
        <v>R$ 1.100,00</v>
      </c>
      <c r="G1276" t="str">
        <f>"R$ 1.430,00"</f>
        <v>R$ 1.430,00</v>
      </c>
      <c r="H1276" t="str">
        <f t="shared" si="122"/>
        <v>R$ 0,00</v>
      </c>
      <c r="I1276" t="str">
        <f>"R$ 1.430,00"</f>
        <v>R$ 1.430,00</v>
      </c>
      <c r="J1276" t="str">
        <f>"R$ 715,00"</f>
        <v>R$ 715,00</v>
      </c>
      <c r="K1276" t="str">
        <f>"R$ 715,00"</f>
        <v>R$ 715,00</v>
      </c>
    </row>
    <row r="1277" spans="1:11" x14ac:dyDescent="0.25">
      <c r="A1277" t="str">
        <f>"00001376 / 1"</f>
        <v>00001376 / 1</v>
      </c>
      <c r="B1277" t="str">
        <f>"Folha Mensal"</f>
        <v>Folha Mensal</v>
      </c>
      <c r="C1277" t="str">
        <f>"Maria Eliza da Silva Oliveira"</f>
        <v>Maria Eliza da Silva Oliveira</v>
      </c>
      <c r="D1277" t="str">
        <f>"INT TEMP CONTRIBUICAO"</f>
        <v>INT TEMP CONTRIBUICAO</v>
      </c>
      <c r="E1277" t="str">
        <f t="shared" si="123"/>
        <v>Efetivo-Inativo I- RJUSM</v>
      </c>
      <c r="F1277" t="str">
        <f>"R$ 1.100,00"</f>
        <v>R$ 1.100,00</v>
      </c>
      <c r="G1277" t="str">
        <f>"R$ 1.430,00"</f>
        <v>R$ 1.430,00</v>
      </c>
      <c r="H1277" t="str">
        <f t="shared" si="122"/>
        <v>R$ 0,00</v>
      </c>
      <c r="I1277" t="str">
        <f>"R$ 1.430,00"</f>
        <v>R$ 1.430,00</v>
      </c>
      <c r="J1277" t="str">
        <f>"R$ 372,75"</f>
        <v>R$ 372,75</v>
      </c>
      <c r="K1277" t="str">
        <f>"R$ 1.057,25"</f>
        <v>R$ 1.057,25</v>
      </c>
    </row>
    <row r="1278" spans="1:11" x14ac:dyDescent="0.25">
      <c r="A1278" t="str">
        <f>"00014370 / 1"</f>
        <v>00014370 / 1</v>
      </c>
      <c r="B1278" t="str">
        <f>"13° Salário Anual"</f>
        <v>13° Salário Anual</v>
      </c>
      <c r="C1278" t="str">
        <f>"Maria Elizabete Pereira da Costa"</f>
        <v>Maria Elizabete Pereira da Costa</v>
      </c>
      <c r="D1278" t="str">
        <f>"PROFESSOR"</f>
        <v>PROFESSOR</v>
      </c>
      <c r="E1278" t="str">
        <f t="shared" si="123"/>
        <v>Efetivo-Inativo I- RJUSM</v>
      </c>
      <c r="F1278" t="str">
        <f>"R$ 1.593,46"</f>
        <v>R$ 1.593,46</v>
      </c>
      <c r="G1278" t="str">
        <f>"R$ 1.673,13"</f>
        <v>R$ 1.673,13</v>
      </c>
      <c r="H1278" t="str">
        <f t="shared" si="122"/>
        <v>R$ 0,00</v>
      </c>
      <c r="I1278" t="str">
        <f>"R$ 1.673,13"</f>
        <v>R$ 1.673,13</v>
      </c>
      <c r="J1278" t="str">
        <f>"R$ 836,56"</f>
        <v>R$ 836,56</v>
      </c>
      <c r="K1278" t="str">
        <f>"R$ 836,57"</f>
        <v>R$ 836,57</v>
      </c>
    </row>
    <row r="1279" spans="1:11" x14ac:dyDescent="0.25">
      <c r="A1279" t="str">
        <f>"00014370 / 1"</f>
        <v>00014370 / 1</v>
      </c>
      <c r="B1279" t="str">
        <f>"Folha Mensal"</f>
        <v>Folha Mensal</v>
      </c>
      <c r="C1279" t="str">
        <f>"Maria Elizabete Pereira da Costa"</f>
        <v>Maria Elizabete Pereira da Costa</v>
      </c>
      <c r="D1279" t="str">
        <f>"PROFESSOR"</f>
        <v>PROFESSOR</v>
      </c>
      <c r="E1279" t="str">
        <f t="shared" si="123"/>
        <v>Efetivo-Inativo I- RJUSM</v>
      </c>
      <c r="F1279" t="str">
        <f>"R$ 1.593,46"</f>
        <v>R$ 1.593,46</v>
      </c>
      <c r="G1279" t="str">
        <f>"R$ 1.673,13"</f>
        <v>R$ 1.673,13</v>
      </c>
      <c r="H1279" t="str">
        <f t="shared" si="122"/>
        <v>R$ 0,00</v>
      </c>
      <c r="I1279" t="str">
        <f>"R$ 1.673,13"</f>
        <v>R$ 1.673,13</v>
      </c>
      <c r="J1279" t="str">
        <f>"R$ 496,32"</f>
        <v>R$ 496,32</v>
      </c>
      <c r="K1279" t="str">
        <f>"R$ 1.176,81"</f>
        <v>R$ 1.176,81</v>
      </c>
    </row>
    <row r="1280" spans="1:11" x14ac:dyDescent="0.25">
      <c r="A1280" t="str">
        <f>"00028517 / 1"</f>
        <v>00028517 / 1</v>
      </c>
      <c r="B1280" t="str">
        <f>"13° Salário Anual"</f>
        <v>13° Salário Anual</v>
      </c>
      <c r="C1280" t="str">
        <f>"Maria Elza Monteiro dos Anjos"</f>
        <v>Maria Elza Monteiro dos Anjos</v>
      </c>
      <c r="D1280" t="str">
        <f>"PROFESSOR NIVEL II"</f>
        <v>PROFESSOR NIVEL II</v>
      </c>
      <c r="E1280" t="str">
        <f t="shared" si="123"/>
        <v>Efetivo-Inativo I- RJUSM</v>
      </c>
      <c r="F1280" t="str">
        <f>"R$ 2.071,51"</f>
        <v>R$ 2.071,51</v>
      </c>
      <c r="G1280" t="str">
        <f>"R$ 2.485,81"</f>
        <v>R$ 2.485,81</v>
      </c>
      <c r="H1280" t="str">
        <f t="shared" si="122"/>
        <v>R$ 0,00</v>
      </c>
      <c r="I1280" t="str">
        <f>"R$ 2.485,81"</f>
        <v>R$ 2.485,81</v>
      </c>
      <c r="J1280" t="str">
        <f>"R$ 1.242,90"</f>
        <v>R$ 1.242,90</v>
      </c>
      <c r="K1280" t="str">
        <f>"R$ 1.242,91"</f>
        <v>R$ 1.242,91</v>
      </c>
    </row>
    <row r="1281" spans="1:11" x14ac:dyDescent="0.25">
      <c r="A1281" t="str">
        <f>"00028517 / 1"</f>
        <v>00028517 / 1</v>
      </c>
      <c r="B1281" t="str">
        <f>"Folha Mensal"</f>
        <v>Folha Mensal</v>
      </c>
      <c r="C1281" t="str">
        <f>"Maria Elza Monteiro dos Anjos"</f>
        <v>Maria Elza Monteiro dos Anjos</v>
      </c>
      <c r="D1281" t="str">
        <f>"PROFESSOR NIVEL II"</f>
        <v>PROFESSOR NIVEL II</v>
      </c>
      <c r="E1281" t="str">
        <f t="shared" si="123"/>
        <v>Efetivo-Inativo I- RJUSM</v>
      </c>
      <c r="F1281" t="str">
        <f>"R$ 2.071,51"</f>
        <v>R$ 2.071,51</v>
      </c>
      <c r="G1281" t="str">
        <f>"R$ 2.485,81"</f>
        <v>R$ 2.485,81</v>
      </c>
      <c r="H1281" t="str">
        <f t="shared" si="122"/>
        <v>R$ 0,00</v>
      </c>
      <c r="I1281" t="str">
        <f>"R$ 2.485,81"</f>
        <v>R$ 2.485,81</v>
      </c>
      <c r="J1281" t="str">
        <f>"R$ 0,00"</f>
        <v>R$ 0,00</v>
      </c>
      <c r="K1281" t="str">
        <f>"R$ 2.485,81"</f>
        <v>R$ 2.485,81</v>
      </c>
    </row>
    <row r="1282" spans="1:11" x14ac:dyDescent="0.25">
      <c r="A1282" t="str">
        <f>"00007811 / 1"</f>
        <v>00007811 / 1</v>
      </c>
      <c r="B1282" t="str">
        <f>"13° Salário Anual"</f>
        <v>13° Salário Anual</v>
      </c>
      <c r="C1282" t="str">
        <f>"Maria Emilia da Silva Gomes"</f>
        <v>Maria Emilia da Silva Gomes</v>
      </c>
      <c r="D1282" t="str">
        <f>"INT TEMP SERVICO"</f>
        <v>INT TEMP SERVICO</v>
      </c>
      <c r="E1282" t="str">
        <f t="shared" si="123"/>
        <v>Efetivo-Inativo I- RJUSM</v>
      </c>
      <c r="F1282" t="str">
        <f>"R$ 2.396,19"</f>
        <v>R$ 2.396,19</v>
      </c>
      <c r="G1282" t="str">
        <f>"R$ 3.115,04"</f>
        <v>R$ 3.115,04</v>
      </c>
      <c r="H1282" t="str">
        <f t="shared" si="122"/>
        <v>R$ 0,00</v>
      </c>
      <c r="I1282" t="str">
        <f>"R$ 3.115,04"</f>
        <v>R$ 3.115,04</v>
      </c>
      <c r="J1282" t="str">
        <f>"R$ 1.557,52"</f>
        <v>R$ 1.557,52</v>
      </c>
      <c r="K1282" t="str">
        <f>"R$ 1.557,52"</f>
        <v>R$ 1.557,52</v>
      </c>
    </row>
    <row r="1283" spans="1:11" x14ac:dyDescent="0.25">
      <c r="A1283" t="str">
        <f>"00007811 / 1"</f>
        <v>00007811 / 1</v>
      </c>
      <c r="B1283" t="str">
        <f>"Folha Mensal"</f>
        <v>Folha Mensal</v>
      </c>
      <c r="C1283" t="str">
        <f>"Maria Emilia da Silva Gomes"</f>
        <v>Maria Emilia da Silva Gomes</v>
      </c>
      <c r="D1283" t="str">
        <f>"INT TEMP SERVICO"</f>
        <v>INT TEMP SERVICO</v>
      </c>
      <c r="E1283" t="str">
        <f t="shared" si="123"/>
        <v>Efetivo-Inativo I- RJUSM</v>
      </c>
      <c r="F1283" t="str">
        <f>"R$ 2.396,19"</f>
        <v>R$ 2.396,19</v>
      </c>
      <c r="G1283" t="str">
        <f>"R$ 3.115,04"</f>
        <v>R$ 3.115,04</v>
      </c>
      <c r="H1283" t="str">
        <f t="shared" si="122"/>
        <v>R$ 0,00</v>
      </c>
      <c r="I1283" t="str">
        <f>"R$ 3.115,04"</f>
        <v>R$ 3.115,04</v>
      </c>
      <c r="J1283" t="str">
        <f>"R$ 0,00"</f>
        <v>R$ 0,00</v>
      </c>
      <c r="K1283" t="str">
        <f>"R$ 3.115,04"</f>
        <v>R$ 3.115,04</v>
      </c>
    </row>
    <row r="1284" spans="1:11" x14ac:dyDescent="0.25">
      <c r="A1284" t="str">
        <f>"00013781 / 1"</f>
        <v>00013781 / 1</v>
      </c>
      <c r="B1284" t="str">
        <f>"13° Salário Anual"</f>
        <v>13° Salário Anual</v>
      </c>
      <c r="C1284" t="str">
        <f>"Maria Ermizete Mattos Oliveira"</f>
        <v>Maria Ermizete Mattos Oliveira</v>
      </c>
      <c r="D1284" t="str">
        <f>"PROP IDADE"</f>
        <v>PROP IDADE</v>
      </c>
      <c r="E1284" t="str">
        <f t="shared" si="123"/>
        <v>Efetivo-Inativo I- RJUSM</v>
      </c>
      <c r="F1284" t="str">
        <f>"R$ 486,65"</f>
        <v>R$ 486,65</v>
      </c>
      <c r="G1284" t="str">
        <f>"R$ 1.100,00"</f>
        <v>R$ 1.100,00</v>
      </c>
      <c r="H1284" t="str">
        <f t="shared" si="122"/>
        <v>R$ 0,00</v>
      </c>
      <c r="I1284" t="str">
        <f>"R$ 1.100,00"</f>
        <v>R$ 1.100,00</v>
      </c>
      <c r="J1284" t="str">
        <f>"R$ 550,00"</f>
        <v>R$ 550,00</v>
      </c>
      <c r="K1284" t="str">
        <f>"R$ 550,00"</f>
        <v>R$ 550,00</v>
      </c>
    </row>
    <row r="1285" spans="1:11" x14ac:dyDescent="0.25">
      <c r="A1285" t="str">
        <f>"00013781 / 1"</f>
        <v>00013781 / 1</v>
      </c>
      <c r="B1285" t="str">
        <f>"Folha Mensal"</f>
        <v>Folha Mensal</v>
      </c>
      <c r="C1285" t="str">
        <f>"Maria Ermizete Mattos Oliveira"</f>
        <v>Maria Ermizete Mattos Oliveira</v>
      </c>
      <c r="D1285" t="str">
        <f>"PROP IDADE"</f>
        <v>PROP IDADE</v>
      </c>
      <c r="E1285" t="str">
        <f t="shared" si="123"/>
        <v>Efetivo-Inativo I- RJUSM</v>
      </c>
      <c r="F1285" t="str">
        <f>"R$ 486,65"</f>
        <v>R$ 486,65</v>
      </c>
      <c r="G1285" t="str">
        <f>"R$ 1.100,00"</f>
        <v>R$ 1.100,00</v>
      </c>
      <c r="H1285" t="str">
        <f t="shared" si="122"/>
        <v>R$ 0,00</v>
      </c>
      <c r="I1285" t="str">
        <f>"R$ 1.100,00"</f>
        <v>R$ 1.100,00</v>
      </c>
      <c r="J1285" t="str">
        <f>"R$ 0,00"</f>
        <v>R$ 0,00</v>
      </c>
      <c r="K1285" t="str">
        <f>"R$ 1.100,00"</f>
        <v>R$ 1.100,00</v>
      </c>
    </row>
    <row r="1286" spans="1:11" x14ac:dyDescent="0.25">
      <c r="A1286" t="str">
        <f>"00406309 / 1"</f>
        <v>00406309 / 1</v>
      </c>
      <c r="B1286" t="str">
        <f>"13° Salário Anual"</f>
        <v>13° Salário Anual</v>
      </c>
      <c r="C1286" t="str">
        <f>"Maria Esmeralda Leitao Cavaleiro de Macedo"</f>
        <v>Maria Esmeralda Leitao Cavaleiro de Macedo</v>
      </c>
      <c r="D1286" t="str">
        <f>"PENSIONISTA"</f>
        <v>PENSIONISTA</v>
      </c>
      <c r="E1286" t="str">
        <f>"Pensionista"</f>
        <v>Pensionista</v>
      </c>
      <c r="F1286" t="str">
        <f>"R$ 1.438,64"</f>
        <v>R$ 1.438,64</v>
      </c>
      <c r="G1286" t="str">
        <f>"R$ 2.661,48"</f>
        <v>R$ 2.661,48</v>
      </c>
      <c r="H1286" t="str">
        <f t="shared" si="122"/>
        <v>R$ 0,00</v>
      </c>
      <c r="I1286" t="str">
        <f>"R$ 2.661,48"</f>
        <v>R$ 2.661,48</v>
      </c>
      <c r="J1286" t="str">
        <f>"R$ 1.330,74"</f>
        <v>R$ 1.330,74</v>
      </c>
      <c r="K1286" t="str">
        <f>"R$ 1.330,74"</f>
        <v>R$ 1.330,74</v>
      </c>
    </row>
    <row r="1287" spans="1:11" x14ac:dyDescent="0.25">
      <c r="A1287" t="str">
        <f>"00406309 / 1"</f>
        <v>00406309 / 1</v>
      </c>
      <c r="B1287" t="str">
        <f>"Folha Mensal"</f>
        <v>Folha Mensal</v>
      </c>
      <c r="C1287" t="str">
        <f>"Maria Esmeralda Leitao Cavaleiro de Macedo"</f>
        <v>Maria Esmeralda Leitao Cavaleiro de Macedo</v>
      </c>
      <c r="D1287" t="str">
        <f>"PENSIONISTA"</f>
        <v>PENSIONISTA</v>
      </c>
      <c r="E1287" t="str">
        <f>"Pensionista"</f>
        <v>Pensionista</v>
      </c>
      <c r="F1287" t="str">
        <f>"R$ 1.438,64"</f>
        <v>R$ 1.438,64</v>
      </c>
      <c r="G1287" t="str">
        <f>"R$ 2.661,48"</f>
        <v>R$ 2.661,48</v>
      </c>
      <c r="H1287" t="str">
        <f t="shared" si="122"/>
        <v>R$ 0,00</v>
      </c>
      <c r="I1287" t="str">
        <f>"R$ 2.661,48"</f>
        <v>R$ 2.661,48</v>
      </c>
      <c r="J1287" t="str">
        <f>"R$ 0,00"</f>
        <v>R$ 0,00</v>
      </c>
      <c r="K1287" t="str">
        <f>"R$ 2.661,48"</f>
        <v>R$ 2.661,48</v>
      </c>
    </row>
    <row r="1288" spans="1:11" x14ac:dyDescent="0.25">
      <c r="A1288" t="str">
        <f>"00001708 / 1"</f>
        <v>00001708 / 1</v>
      </c>
      <c r="B1288" t="str">
        <f>"13° Salário Anual"</f>
        <v>13° Salário Anual</v>
      </c>
      <c r="C1288" t="str">
        <f>"Maria Esmeralda Lopes da Silva"</f>
        <v>Maria Esmeralda Lopes da Silva</v>
      </c>
      <c r="D1288" t="str">
        <f>"PROFESSOR"</f>
        <v>PROFESSOR</v>
      </c>
      <c r="E1288" t="str">
        <f>"Efetivo-Inativo I- RJUSM"</f>
        <v>Efetivo-Inativo I- RJUSM</v>
      </c>
      <c r="F1288" t="str">
        <f>"R$ 2.230,85"</f>
        <v>R$ 2.230,85</v>
      </c>
      <c r="G1288" t="str">
        <f>"R$ 2.788,56"</f>
        <v>R$ 2.788,56</v>
      </c>
      <c r="H1288" t="str">
        <f t="shared" si="122"/>
        <v>R$ 0,00</v>
      </c>
      <c r="I1288" t="str">
        <f>"R$ 2.788,56"</f>
        <v>R$ 2.788,56</v>
      </c>
      <c r="J1288" t="str">
        <f>"R$ 1.446,40"</f>
        <v>R$ 1.446,40</v>
      </c>
      <c r="K1288" t="str">
        <f>"R$ 1.342,16"</f>
        <v>R$ 1.342,16</v>
      </c>
    </row>
    <row r="1289" spans="1:11" x14ac:dyDescent="0.25">
      <c r="A1289" t="str">
        <f>"00001708 / 1"</f>
        <v>00001708 / 1</v>
      </c>
      <c r="B1289" t="str">
        <f>"Folha Mensal"</f>
        <v>Folha Mensal</v>
      </c>
      <c r="C1289" t="str">
        <f>"Maria Esmeralda Lopes da Silva"</f>
        <v>Maria Esmeralda Lopes da Silva</v>
      </c>
      <c r="D1289" t="str">
        <f>"PROFESSOR"</f>
        <v>PROFESSOR</v>
      </c>
      <c r="E1289" t="str">
        <f>"Efetivo-Inativo I- RJUSM"</f>
        <v>Efetivo-Inativo I- RJUSM</v>
      </c>
      <c r="F1289" t="str">
        <f>"R$ 2.230,85"</f>
        <v>R$ 2.230,85</v>
      </c>
      <c r="G1289" t="str">
        <f>"R$ 2.788,56"</f>
        <v>R$ 2.788,56</v>
      </c>
      <c r="H1289" t="str">
        <f t="shared" si="122"/>
        <v>R$ 0,00</v>
      </c>
      <c r="I1289" t="str">
        <f>"R$ 2.788,56"</f>
        <v>R$ 2.788,56</v>
      </c>
      <c r="J1289" t="str">
        <f>"R$ 872,90"</f>
        <v>R$ 872,90</v>
      </c>
      <c r="K1289" t="str">
        <f>"R$ 1.915,66"</f>
        <v>R$ 1.915,66</v>
      </c>
    </row>
    <row r="1290" spans="1:11" x14ac:dyDescent="0.25">
      <c r="A1290" t="str">
        <f>"03640329 / 1"</f>
        <v>03640329 / 1</v>
      </c>
      <c r="B1290" t="str">
        <f>"13° Salário Anual"</f>
        <v>13° Salário Anual</v>
      </c>
      <c r="C1290" t="str">
        <f>"Maria Ester Lima Pereira"</f>
        <v>Maria Ester Lima Pereira</v>
      </c>
      <c r="D1290" t="str">
        <f>"PENSIONISTA"</f>
        <v>PENSIONISTA</v>
      </c>
      <c r="E1290" t="str">
        <f>"Pensionista"</f>
        <v>Pensionista</v>
      </c>
      <c r="F1290" t="str">
        <f>"R$ 2.430,34"</f>
        <v>R$ 2.430,34</v>
      </c>
      <c r="G1290" t="str">
        <f>"R$ 3.159,44"</f>
        <v>R$ 3.159,44</v>
      </c>
      <c r="H1290" t="str">
        <f t="shared" si="122"/>
        <v>R$ 0,00</v>
      </c>
      <c r="I1290" t="str">
        <f>"R$ 3.159,44"</f>
        <v>R$ 3.159,44</v>
      </c>
      <c r="J1290" t="str">
        <f>"R$ 1.698,83"</f>
        <v>R$ 1.698,83</v>
      </c>
      <c r="K1290" t="str">
        <f>"R$ 1.460,61"</f>
        <v>R$ 1.460,61</v>
      </c>
    </row>
    <row r="1291" spans="1:11" x14ac:dyDescent="0.25">
      <c r="A1291" t="str">
        <f>"03640329 / 1"</f>
        <v>03640329 / 1</v>
      </c>
      <c r="B1291" t="str">
        <f>"Folha Mensal"</f>
        <v>Folha Mensal</v>
      </c>
      <c r="C1291" t="str">
        <f>"Maria Ester Lima Pereira"</f>
        <v>Maria Ester Lima Pereira</v>
      </c>
      <c r="D1291" t="str">
        <f>"PENSIONISTA"</f>
        <v>PENSIONISTA</v>
      </c>
      <c r="E1291" t="str">
        <f>"Pensionista"</f>
        <v>Pensionista</v>
      </c>
      <c r="F1291" t="str">
        <f>"R$ 2.430,34"</f>
        <v>R$ 2.430,34</v>
      </c>
      <c r="G1291" t="str">
        <f>"R$ 3.159,44"</f>
        <v>R$ 3.159,44</v>
      </c>
      <c r="H1291" t="str">
        <f t="shared" si="122"/>
        <v>R$ 0,00</v>
      </c>
      <c r="I1291" t="str">
        <f>"R$ 3.159,44"</f>
        <v>R$ 3.159,44</v>
      </c>
      <c r="J1291" t="str">
        <f>"R$ 119,11"</f>
        <v>R$ 119,11</v>
      </c>
      <c r="K1291" t="str">
        <f>"R$ 3.040,33"</f>
        <v>R$ 3.040,33</v>
      </c>
    </row>
    <row r="1292" spans="1:11" x14ac:dyDescent="0.25">
      <c r="A1292" t="str">
        <f>"00406036 / 1"</f>
        <v>00406036 / 1</v>
      </c>
      <c r="B1292" t="str">
        <f>"13° Salário Anual"</f>
        <v>13° Salário Anual</v>
      </c>
      <c r="C1292" t="str">
        <f>"Maria Fatima Leite de Lima"</f>
        <v>Maria Fatima Leite de Lima</v>
      </c>
      <c r="D1292" t="str">
        <f>"PENSIONISTA"</f>
        <v>PENSIONISTA</v>
      </c>
      <c r="E1292" t="str">
        <f>"Pensionista"</f>
        <v>Pensionista</v>
      </c>
      <c r="F1292" t="str">
        <f t="shared" ref="F1292:G1295" si="124">"R$ 1.100,00"</f>
        <v>R$ 1.100,00</v>
      </c>
      <c r="G1292" t="str">
        <f t="shared" si="124"/>
        <v>R$ 1.100,00</v>
      </c>
      <c r="H1292" t="str">
        <f t="shared" si="122"/>
        <v>R$ 0,00</v>
      </c>
      <c r="I1292" t="str">
        <f>"R$ 1.100,00"</f>
        <v>R$ 1.100,00</v>
      </c>
      <c r="J1292" t="str">
        <f>"R$ 550,00"</f>
        <v>R$ 550,00</v>
      </c>
      <c r="K1292" t="str">
        <f>"R$ 550,00"</f>
        <v>R$ 550,00</v>
      </c>
    </row>
    <row r="1293" spans="1:11" x14ac:dyDescent="0.25">
      <c r="A1293" t="str">
        <f>"00406036 / 1"</f>
        <v>00406036 / 1</v>
      </c>
      <c r="B1293" t="str">
        <f>"Folha Mensal"</f>
        <v>Folha Mensal</v>
      </c>
      <c r="C1293" t="str">
        <f>"Maria Fatima Leite de Lima"</f>
        <v>Maria Fatima Leite de Lima</v>
      </c>
      <c r="D1293" t="str">
        <f>"PENSIONISTA"</f>
        <v>PENSIONISTA</v>
      </c>
      <c r="E1293" t="str">
        <f>"Pensionista"</f>
        <v>Pensionista</v>
      </c>
      <c r="F1293" t="str">
        <f t="shared" si="124"/>
        <v>R$ 1.100,00</v>
      </c>
      <c r="G1293" t="str">
        <f t="shared" si="124"/>
        <v>R$ 1.100,00</v>
      </c>
      <c r="H1293" t="str">
        <f t="shared" si="122"/>
        <v>R$ 0,00</v>
      </c>
      <c r="I1293" t="str">
        <f>"R$ 1.100,00"</f>
        <v>R$ 1.100,00</v>
      </c>
      <c r="J1293" t="str">
        <f>"R$ 0,00"</f>
        <v>R$ 0,00</v>
      </c>
      <c r="K1293" t="str">
        <f>"R$ 1.100,00"</f>
        <v>R$ 1.100,00</v>
      </c>
    </row>
    <row r="1294" spans="1:11" x14ac:dyDescent="0.25">
      <c r="A1294" t="str">
        <f>"00033383 / 1"</f>
        <v>00033383 / 1</v>
      </c>
      <c r="B1294" t="str">
        <f>"13° Salário Anual"</f>
        <v>13° Salário Anual</v>
      </c>
      <c r="C1294" t="str">
        <f>"Maria Felix Amorim de Jesus"</f>
        <v>Maria Felix Amorim de Jesus</v>
      </c>
      <c r="D1294" t="str">
        <f>"PROP IDADE"</f>
        <v>PROP IDADE</v>
      </c>
      <c r="E1294" t="str">
        <f t="shared" ref="E1294:E1299" si="125">"Efetivo-Inativo I- RJUSM"</f>
        <v>Efetivo-Inativo I- RJUSM</v>
      </c>
      <c r="F1294" t="str">
        <f t="shared" si="124"/>
        <v>R$ 1.100,00</v>
      </c>
      <c r="G1294" t="str">
        <f t="shared" si="124"/>
        <v>R$ 1.100,00</v>
      </c>
      <c r="H1294" t="str">
        <f t="shared" si="122"/>
        <v>R$ 0,00</v>
      </c>
      <c r="I1294" t="str">
        <f>"R$ 1.100,00"</f>
        <v>R$ 1.100,00</v>
      </c>
      <c r="J1294" t="str">
        <f>"R$ 550,00"</f>
        <v>R$ 550,00</v>
      </c>
      <c r="K1294" t="str">
        <f>"R$ 550,00"</f>
        <v>R$ 550,00</v>
      </c>
    </row>
    <row r="1295" spans="1:11" x14ac:dyDescent="0.25">
      <c r="A1295" t="str">
        <f>"00033383 / 1"</f>
        <v>00033383 / 1</v>
      </c>
      <c r="B1295" t="str">
        <f>"Folha Mensal"</f>
        <v>Folha Mensal</v>
      </c>
      <c r="C1295" t="str">
        <f>"Maria Felix Amorim de Jesus"</f>
        <v>Maria Felix Amorim de Jesus</v>
      </c>
      <c r="D1295" t="str">
        <f>"PROP IDADE"</f>
        <v>PROP IDADE</v>
      </c>
      <c r="E1295" t="str">
        <f t="shared" si="125"/>
        <v>Efetivo-Inativo I- RJUSM</v>
      </c>
      <c r="F1295" t="str">
        <f t="shared" si="124"/>
        <v>R$ 1.100,00</v>
      </c>
      <c r="G1295" t="str">
        <f t="shared" si="124"/>
        <v>R$ 1.100,00</v>
      </c>
      <c r="H1295" t="str">
        <f t="shared" si="122"/>
        <v>R$ 0,00</v>
      </c>
      <c r="I1295" t="str">
        <f>"R$ 1.100,00"</f>
        <v>R$ 1.100,00</v>
      </c>
      <c r="J1295" t="str">
        <f>"R$ 236,35"</f>
        <v>R$ 236,35</v>
      </c>
      <c r="K1295" t="str">
        <f>"R$ 863,65"</f>
        <v>R$ 863,65</v>
      </c>
    </row>
    <row r="1296" spans="1:11" x14ac:dyDescent="0.25">
      <c r="A1296" t="str">
        <f>"00003875 / 1"</f>
        <v>00003875 / 1</v>
      </c>
      <c r="B1296" t="str">
        <f>"13° Salário Anual"</f>
        <v>13° Salário Anual</v>
      </c>
      <c r="C1296" t="str">
        <f>"Maria Flavia Costa de Lima"</f>
        <v>Maria Flavia Costa de Lima</v>
      </c>
      <c r="D1296" t="str">
        <f>"PROFESSOR"</f>
        <v>PROFESSOR</v>
      </c>
      <c r="E1296" t="str">
        <f t="shared" si="125"/>
        <v>Efetivo-Inativo I- RJUSM</v>
      </c>
      <c r="F1296" t="str">
        <f>"R$ 1.593,46"</f>
        <v>R$ 1.593,46</v>
      </c>
      <c r="G1296" t="str">
        <f>"R$ 1.991,82"</f>
        <v>R$ 1.991,82</v>
      </c>
      <c r="H1296" t="str">
        <f t="shared" si="122"/>
        <v>R$ 0,00</v>
      </c>
      <c r="I1296" t="str">
        <f>"R$ 1.991,82"</f>
        <v>R$ 1.991,82</v>
      </c>
      <c r="J1296" t="str">
        <f>"R$ 995,91"</f>
        <v>R$ 995,91</v>
      </c>
      <c r="K1296" t="str">
        <f>"R$ 995,91"</f>
        <v>R$ 995,91</v>
      </c>
    </row>
    <row r="1297" spans="1:11" x14ac:dyDescent="0.25">
      <c r="A1297" t="str">
        <f>"00003875 / 1"</f>
        <v>00003875 / 1</v>
      </c>
      <c r="B1297" t="str">
        <f>"Folha Mensal"</f>
        <v>Folha Mensal</v>
      </c>
      <c r="C1297" t="str">
        <f>"Maria Flavia Costa de Lima"</f>
        <v>Maria Flavia Costa de Lima</v>
      </c>
      <c r="D1297" t="str">
        <f>"PROFESSOR"</f>
        <v>PROFESSOR</v>
      </c>
      <c r="E1297" t="str">
        <f t="shared" si="125"/>
        <v>Efetivo-Inativo I- RJUSM</v>
      </c>
      <c r="F1297" t="str">
        <f>"R$ 1.593,46"</f>
        <v>R$ 1.593,46</v>
      </c>
      <c r="G1297" t="str">
        <f>"R$ 1.991,82"</f>
        <v>R$ 1.991,82</v>
      </c>
      <c r="H1297" t="str">
        <f t="shared" si="122"/>
        <v>R$ 0,00</v>
      </c>
      <c r="I1297" t="str">
        <f>"R$ 1.991,82"</f>
        <v>R$ 1.991,82</v>
      </c>
      <c r="J1297" t="str">
        <f>"R$ 792,10"</f>
        <v>R$ 792,10</v>
      </c>
      <c r="K1297" t="str">
        <f>"R$ 1.199,72"</f>
        <v>R$ 1.199,72</v>
      </c>
    </row>
    <row r="1298" spans="1:11" x14ac:dyDescent="0.25">
      <c r="A1298" t="str">
        <f>"00002941 / 1"</f>
        <v>00002941 / 1</v>
      </c>
      <c r="B1298" t="str">
        <f>"13° Salário Anual"</f>
        <v>13° Salário Anual</v>
      </c>
      <c r="C1298" t="str">
        <f>"Maria Fonseca do Vale"</f>
        <v>Maria Fonseca do Vale</v>
      </c>
      <c r="D1298" t="str">
        <f>"PROP IDADE"</f>
        <v>PROP IDADE</v>
      </c>
      <c r="E1298" t="str">
        <f t="shared" si="125"/>
        <v>Efetivo-Inativo I- RJUSM</v>
      </c>
      <c r="F1298" t="str">
        <f>"R$ 1.100,00"</f>
        <v>R$ 1.100,00</v>
      </c>
      <c r="G1298" t="str">
        <f>"R$ 1.100,00"</f>
        <v>R$ 1.100,00</v>
      </c>
      <c r="H1298" t="str">
        <f t="shared" si="122"/>
        <v>R$ 0,00</v>
      </c>
      <c r="I1298" t="str">
        <f>"R$ 1.100,00"</f>
        <v>R$ 1.100,00</v>
      </c>
      <c r="J1298" t="str">
        <f>"R$ 550,00"</f>
        <v>R$ 550,00</v>
      </c>
      <c r="K1298" t="str">
        <f>"R$ 550,00"</f>
        <v>R$ 550,00</v>
      </c>
    </row>
    <row r="1299" spans="1:11" x14ac:dyDescent="0.25">
      <c r="A1299" t="str">
        <f>"00002941 / 1"</f>
        <v>00002941 / 1</v>
      </c>
      <c r="B1299" t="str">
        <f>"Folha Mensal"</f>
        <v>Folha Mensal</v>
      </c>
      <c r="C1299" t="str">
        <f>"Maria Fonseca do Vale"</f>
        <v>Maria Fonseca do Vale</v>
      </c>
      <c r="D1299" t="str">
        <f>"PROP IDADE"</f>
        <v>PROP IDADE</v>
      </c>
      <c r="E1299" t="str">
        <f t="shared" si="125"/>
        <v>Efetivo-Inativo I- RJUSM</v>
      </c>
      <c r="F1299" t="str">
        <f>"R$ 1.100,00"</f>
        <v>R$ 1.100,00</v>
      </c>
      <c r="G1299" t="str">
        <f>"R$ 1.100,00"</f>
        <v>R$ 1.100,00</v>
      </c>
      <c r="H1299" t="str">
        <f t="shared" si="122"/>
        <v>R$ 0,00</v>
      </c>
      <c r="I1299" t="str">
        <f>"R$ 1.100,00"</f>
        <v>R$ 1.100,00</v>
      </c>
      <c r="J1299" t="str">
        <f>"R$ 280,44"</f>
        <v>R$ 280,44</v>
      </c>
      <c r="K1299" t="str">
        <f>"R$ 819,56"</f>
        <v>R$ 819,56</v>
      </c>
    </row>
    <row r="1300" spans="1:11" x14ac:dyDescent="0.25">
      <c r="A1300" t="str">
        <f>"00045446 / 1"</f>
        <v>00045446 / 1</v>
      </c>
      <c r="B1300" t="str">
        <f>"13° Salário Anual"</f>
        <v>13° Salário Anual</v>
      </c>
      <c r="C1300" t="str">
        <f>"Maria Fortunata da Silva Reis"</f>
        <v>Maria Fortunata da Silva Reis</v>
      </c>
      <c r="D1300" t="str">
        <f>"PENSIONISTA"</f>
        <v>PENSIONISTA</v>
      </c>
      <c r="E1300" t="str">
        <f>"Pensionista"</f>
        <v>Pensionista</v>
      </c>
      <c r="F1300" t="str">
        <f t="shared" ref="F1300:F1311" si="126">"R$ 1.100,00"</f>
        <v>R$ 1.100,00</v>
      </c>
      <c r="G1300" t="str">
        <f>"R$ 1.375,00"</f>
        <v>R$ 1.375,00</v>
      </c>
      <c r="H1300" t="str">
        <f t="shared" si="122"/>
        <v>R$ 0,00</v>
      </c>
      <c r="I1300" t="str">
        <f>"R$ 1.375,00"</f>
        <v>R$ 1.375,00</v>
      </c>
      <c r="J1300" t="str">
        <f>"R$ 687,50"</f>
        <v>R$ 687,50</v>
      </c>
      <c r="K1300" t="str">
        <f>"R$ 687,50"</f>
        <v>R$ 687,50</v>
      </c>
    </row>
    <row r="1301" spans="1:11" x14ac:dyDescent="0.25">
      <c r="A1301" t="str">
        <f>"00045446 / 1"</f>
        <v>00045446 / 1</v>
      </c>
      <c r="B1301" t="str">
        <f>"Folha Mensal"</f>
        <v>Folha Mensal</v>
      </c>
      <c r="C1301" t="str">
        <f>"Maria Fortunata da Silva Reis"</f>
        <v>Maria Fortunata da Silva Reis</v>
      </c>
      <c r="D1301" t="str">
        <f>"PENSIONISTA"</f>
        <v>PENSIONISTA</v>
      </c>
      <c r="E1301" t="str">
        <f>"Pensionista"</f>
        <v>Pensionista</v>
      </c>
      <c r="F1301" t="str">
        <f t="shared" si="126"/>
        <v>R$ 1.100,00</v>
      </c>
      <c r="G1301" t="str">
        <f>"R$ 1.375,00"</f>
        <v>R$ 1.375,00</v>
      </c>
      <c r="H1301" t="str">
        <f t="shared" si="122"/>
        <v>R$ 0,00</v>
      </c>
      <c r="I1301" t="str">
        <f>"R$ 1.375,00"</f>
        <v>R$ 1.375,00</v>
      </c>
      <c r="J1301" t="str">
        <f>"R$ 66,46"</f>
        <v>R$ 66,46</v>
      </c>
      <c r="K1301" t="str">
        <f>"R$ 1.308,54"</f>
        <v>R$ 1.308,54</v>
      </c>
    </row>
    <row r="1302" spans="1:11" x14ac:dyDescent="0.25">
      <c r="A1302" t="str">
        <f>"00045446 / 2"</f>
        <v>00045446 / 2</v>
      </c>
      <c r="B1302" t="str">
        <f>"13° Salário Anual"</f>
        <v>13° Salário Anual</v>
      </c>
      <c r="C1302" t="str">
        <f>"Maria Fortunata da Silva Reis"</f>
        <v>Maria Fortunata da Silva Reis</v>
      </c>
      <c r="D1302" t="str">
        <f>"PROP IDADE"</f>
        <v>PROP IDADE</v>
      </c>
      <c r="E1302" t="str">
        <f t="shared" ref="E1302:E1307" si="127">"Efetivo-Inativo I- RJUSM"</f>
        <v>Efetivo-Inativo I- RJUSM</v>
      </c>
      <c r="F1302" t="str">
        <f t="shared" si="126"/>
        <v>R$ 1.100,00</v>
      </c>
      <c r="G1302" t="str">
        <f>"R$ 1.100,00"</f>
        <v>R$ 1.100,00</v>
      </c>
      <c r="H1302" t="str">
        <f t="shared" si="122"/>
        <v>R$ 0,00</v>
      </c>
      <c r="I1302" t="str">
        <f>"R$ 1.100,00"</f>
        <v>R$ 1.100,00</v>
      </c>
      <c r="J1302" t="str">
        <f>"R$ 550,00"</f>
        <v>R$ 550,00</v>
      </c>
      <c r="K1302" t="str">
        <f>"R$ 550,00"</f>
        <v>R$ 550,00</v>
      </c>
    </row>
    <row r="1303" spans="1:11" x14ac:dyDescent="0.25">
      <c r="A1303" t="str">
        <f>"00045446 / 2"</f>
        <v>00045446 / 2</v>
      </c>
      <c r="B1303" t="str">
        <f>"Folha Mensal"</f>
        <v>Folha Mensal</v>
      </c>
      <c r="C1303" t="str">
        <f>"Maria Fortunata da Silva Reis"</f>
        <v>Maria Fortunata da Silva Reis</v>
      </c>
      <c r="D1303" t="str">
        <f>"PROP IDADE"</f>
        <v>PROP IDADE</v>
      </c>
      <c r="E1303" t="str">
        <f t="shared" si="127"/>
        <v>Efetivo-Inativo I- RJUSM</v>
      </c>
      <c r="F1303" t="str">
        <f t="shared" si="126"/>
        <v>R$ 1.100,00</v>
      </c>
      <c r="G1303" t="str">
        <f>"R$ 1.100,00"</f>
        <v>R$ 1.100,00</v>
      </c>
      <c r="H1303" t="str">
        <f t="shared" si="122"/>
        <v>R$ 0,00</v>
      </c>
      <c r="I1303" t="str">
        <f>"R$ 1.100,00"</f>
        <v>R$ 1.100,00</v>
      </c>
      <c r="J1303" t="str">
        <f>"R$ 409,71"</f>
        <v>R$ 409,71</v>
      </c>
      <c r="K1303" t="str">
        <f>"R$ 690,29"</f>
        <v>R$ 690,29</v>
      </c>
    </row>
    <row r="1304" spans="1:11" x14ac:dyDescent="0.25">
      <c r="A1304" t="str">
        <f>"00027359 / 1"</f>
        <v>00027359 / 1</v>
      </c>
      <c r="B1304" t="str">
        <f>"13° Salário Anual"</f>
        <v>13° Salário Anual</v>
      </c>
      <c r="C1304" t="str">
        <f>"Maria Francisca dos Santos Martins"</f>
        <v>Maria Francisca dos Santos Martins</v>
      </c>
      <c r="D1304" t="str">
        <f>"PROP IDADE"</f>
        <v>PROP IDADE</v>
      </c>
      <c r="E1304" t="str">
        <f t="shared" si="127"/>
        <v>Efetivo-Inativo I- RJUSM</v>
      </c>
      <c r="F1304" t="str">
        <f t="shared" si="126"/>
        <v>R$ 1.100,00</v>
      </c>
      <c r="G1304" t="str">
        <f>"R$ 1.100,00"</f>
        <v>R$ 1.100,00</v>
      </c>
      <c r="H1304" t="str">
        <f t="shared" si="122"/>
        <v>R$ 0,00</v>
      </c>
      <c r="I1304" t="str">
        <f>"R$ 1.100,00"</f>
        <v>R$ 1.100,00</v>
      </c>
      <c r="J1304" t="str">
        <f>"R$ 550,00"</f>
        <v>R$ 550,00</v>
      </c>
      <c r="K1304" t="str">
        <f>"R$ 550,00"</f>
        <v>R$ 550,00</v>
      </c>
    </row>
    <row r="1305" spans="1:11" x14ac:dyDescent="0.25">
      <c r="A1305" t="str">
        <f>"00027359 / 1"</f>
        <v>00027359 / 1</v>
      </c>
      <c r="B1305" t="str">
        <f>"Folha Mensal"</f>
        <v>Folha Mensal</v>
      </c>
      <c r="C1305" t="str">
        <f>"Maria Francisca dos Santos Martins"</f>
        <v>Maria Francisca dos Santos Martins</v>
      </c>
      <c r="D1305" t="str">
        <f>"PROP IDADE"</f>
        <v>PROP IDADE</v>
      </c>
      <c r="E1305" t="str">
        <f t="shared" si="127"/>
        <v>Efetivo-Inativo I- RJUSM</v>
      </c>
      <c r="F1305" t="str">
        <f t="shared" si="126"/>
        <v>R$ 1.100,00</v>
      </c>
      <c r="G1305" t="str">
        <f>"R$ 1.100,00"</f>
        <v>R$ 1.100,00</v>
      </c>
      <c r="H1305" t="str">
        <f t="shared" si="122"/>
        <v>R$ 0,00</v>
      </c>
      <c r="I1305" t="str">
        <f>"R$ 1.100,00"</f>
        <v>R$ 1.100,00</v>
      </c>
      <c r="J1305" t="str">
        <f>"R$ 384,49"</f>
        <v>R$ 384,49</v>
      </c>
      <c r="K1305" t="str">
        <f>"R$ 715,51"</f>
        <v>R$ 715,51</v>
      </c>
    </row>
    <row r="1306" spans="1:11" x14ac:dyDescent="0.25">
      <c r="A1306" t="str">
        <f>"00023906 / 2"</f>
        <v>00023906 / 2</v>
      </c>
      <c r="B1306" t="str">
        <f>"13° Salário Anual"</f>
        <v>13° Salário Anual</v>
      </c>
      <c r="C1306" t="str">
        <f>"Maria Genil Rocha de Souza"</f>
        <v>Maria Genil Rocha de Souza</v>
      </c>
      <c r="D1306" t="str">
        <f>"INT TEMP CONTRIBUICAO"</f>
        <v>INT TEMP CONTRIBUICAO</v>
      </c>
      <c r="E1306" t="str">
        <f t="shared" si="127"/>
        <v>Efetivo-Inativo I- RJUSM</v>
      </c>
      <c r="F1306" t="str">
        <f t="shared" si="126"/>
        <v>R$ 1.100,00</v>
      </c>
      <c r="G1306" t="str">
        <f>"R$ 1.430,00"</f>
        <v>R$ 1.430,00</v>
      </c>
      <c r="H1306" t="str">
        <f t="shared" si="122"/>
        <v>R$ 0,00</v>
      </c>
      <c r="I1306" t="str">
        <f>"R$ 1.430,00"</f>
        <v>R$ 1.430,00</v>
      </c>
      <c r="J1306" t="str">
        <f>"R$ 715,00"</f>
        <v>R$ 715,00</v>
      </c>
      <c r="K1306" t="str">
        <f>"R$ 715,00"</f>
        <v>R$ 715,00</v>
      </c>
    </row>
    <row r="1307" spans="1:11" x14ac:dyDescent="0.25">
      <c r="A1307" t="str">
        <f>"00023906 / 2"</f>
        <v>00023906 / 2</v>
      </c>
      <c r="B1307" t="str">
        <f>"Folha Mensal"</f>
        <v>Folha Mensal</v>
      </c>
      <c r="C1307" t="str">
        <f>"Maria Genil Rocha de Souza"</f>
        <v>Maria Genil Rocha de Souza</v>
      </c>
      <c r="D1307" t="str">
        <f>"INT TEMP CONTRIBUICAO"</f>
        <v>INT TEMP CONTRIBUICAO</v>
      </c>
      <c r="E1307" t="str">
        <f t="shared" si="127"/>
        <v>Efetivo-Inativo I- RJUSM</v>
      </c>
      <c r="F1307" t="str">
        <f t="shared" si="126"/>
        <v>R$ 1.100,00</v>
      </c>
      <c r="G1307" t="str">
        <f>"R$ 1.430,00"</f>
        <v>R$ 1.430,00</v>
      </c>
      <c r="H1307" t="str">
        <f t="shared" si="122"/>
        <v>R$ 0,00</v>
      </c>
      <c r="I1307" t="str">
        <f>"R$ 1.430,00"</f>
        <v>R$ 1.430,00</v>
      </c>
      <c r="J1307" t="str">
        <f>"R$ 0,00"</f>
        <v>R$ 0,00</v>
      </c>
      <c r="K1307" t="str">
        <f>"R$ 1.430,00"</f>
        <v>R$ 1.430,00</v>
      </c>
    </row>
    <row r="1308" spans="1:11" x14ac:dyDescent="0.25">
      <c r="A1308" t="str">
        <f>"00031976 / 2"</f>
        <v>00031976 / 2</v>
      </c>
      <c r="B1308" t="str">
        <f>"13° Salário Anual"</f>
        <v>13° Salário Anual</v>
      </c>
      <c r="C1308" t="str">
        <f>"Maria Gomes de Sousa"</f>
        <v>Maria Gomes de Sousa</v>
      </c>
      <c r="D1308" t="str">
        <f>"AUXILIAR MUNICIPAL"</f>
        <v>AUXILIAR MUNICIPAL</v>
      </c>
      <c r="E1308" t="str">
        <f>"Efetivo-Inativos II-RJUSM"</f>
        <v>Efetivo-Inativos II-RJUSM</v>
      </c>
      <c r="F1308" t="str">
        <f t="shared" si="126"/>
        <v>R$ 1.100,00</v>
      </c>
      <c r="G1308" t="str">
        <f>"R$ 1.430,00"</f>
        <v>R$ 1.430,00</v>
      </c>
      <c r="H1308" t="str">
        <f t="shared" si="122"/>
        <v>R$ 0,00</v>
      </c>
      <c r="I1308" t="str">
        <f>"R$ 1.430,00"</f>
        <v>R$ 1.430,00</v>
      </c>
      <c r="J1308" t="str">
        <f>"R$ 715,00"</f>
        <v>R$ 715,00</v>
      </c>
      <c r="K1308" t="str">
        <f>"R$ 715,00"</f>
        <v>R$ 715,00</v>
      </c>
    </row>
    <row r="1309" spans="1:11" x14ac:dyDescent="0.25">
      <c r="A1309" t="str">
        <f>"00031976 / 2"</f>
        <v>00031976 / 2</v>
      </c>
      <c r="B1309" t="str">
        <f>"Folha Mensal"</f>
        <v>Folha Mensal</v>
      </c>
      <c r="C1309" t="str">
        <f>"Maria Gomes de Sousa"</f>
        <v>Maria Gomes de Sousa</v>
      </c>
      <c r="D1309" t="str">
        <f>"AUXILIAR MUNICIPAL"</f>
        <v>AUXILIAR MUNICIPAL</v>
      </c>
      <c r="E1309" t="str">
        <f>"Efetivo-Inativos II-RJUSM"</f>
        <v>Efetivo-Inativos II-RJUSM</v>
      </c>
      <c r="F1309" t="str">
        <f t="shared" si="126"/>
        <v>R$ 1.100,00</v>
      </c>
      <c r="G1309" t="str">
        <f>"R$ 1.430,00"</f>
        <v>R$ 1.430,00</v>
      </c>
      <c r="H1309" t="str">
        <f t="shared" si="122"/>
        <v>R$ 0,00</v>
      </c>
      <c r="I1309" t="str">
        <f>"R$ 1.430,00"</f>
        <v>R$ 1.430,00</v>
      </c>
      <c r="J1309" t="str">
        <f>"R$ 195,14"</f>
        <v>R$ 195,14</v>
      </c>
      <c r="K1309" t="str">
        <f>"R$ 1.234,86"</f>
        <v>R$ 1.234,86</v>
      </c>
    </row>
    <row r="1310" spans="1:11" x14ac:dyDescent="0.25">
      <c r="A1310" t="str">
        <f>"03641791 / 1"</f>
        <v>03641791 / 1</v>
      </c>
      <c r="B1310" t="str">
        <f>"13° Salário Anual"</f>
        <v>13° Salário Anual</v>
      </c>
      <c r="C1310" t="str">
        <f>"Maria Gorete de Sousa do Rosario"</f>
        <v>Maria Gorete de Sousa do Rosario</v>
      </c>
      <c r="D1310" t="str">
        <f>"ATE-01"</f>
        <v>ATE-01</v>
      </c>
      <c r="E1310" t="str">
        <f>"Comissionado"</f>
        <v>Comissionado</v>
      </c>
      <c r="F1310" t="str">
        <f t="shared" si="126"/>
        <v>R$ 1.100,00</v>
      </c>
      <c r="G1310" t="str">
        <f>"R$ 1.100,00"</f>
        <v>R$ 1.100,00</v>
      </c>
      <c r="H1310" t="str">
        <f t="shared" si="122"/>
        <v>R$ 0,00</v>
      </c>
      <c r="I1310" t="str">
        <f>"R$ 1.100,00"</f>
        <v>R$ 1.100,00</v>
      </c>
      <c r="J1310" t="str">
        <f>"R$ 632,50"</f>
        <v>R$ 632,50</v>
      </c>
      <c r="K1310" t="str">
        <f>"R$ 467,50"</f>
        <v>R$ 467,50</v>
      </c>
    </row>
    <row r="1311" spans="1:11" x14ac:dyDescent="0.25">
      <c r="A1311" t="str">
        <f>"03641791 / 1"</f>
        <v>03641791 / 1</v>
      </c>
      <c r="B1311" t="str">
        <f>"Folha Mensal"</f>
        <v>Folha Mensal</v>
      </c>
      <c r="C1311" t="str">
        <f>"Maria Gorete de Sousa do Rosario"</f>
        <v>Maria Gorete de Sousa do Rosario</v>
      </c>
      <c r="D1311" t="str">
        <f>"ATE-01"</f>
        <v>ATE-01</v>
      </c>
      <c r="E1311" t="str">
        <f>"Comissionado"</f>
        <v>Comissionado</v>
      </c>
      <c r="F1311" t="str">
        <f t="shared" si="126"/>
        <v>R$ 1.100,00</v>
      </c>
      <c r="G1311" t="str">
        <f>"R$ 1.100,00"</f>
        <v>R$ 1.100,00</v>
      </c>
      <c r="H1311" t="str">
        <f>"R$ 288,00"</f>
        <v>R$ 288,00</v>
      </c>
      <c r="I1311" t="str">
        <f>"R$ 1.388,00"</f>
        <v>R$ 1.388,00</v>
      </c>
      <c r="J1311" t="str">
        <f>"R$ 148,50"</f>
        <v>R$ 148,50</v>
      </c>
      <c r="K1311" t="str">
        <f>"R$ 1.239,50"</f>
        <v>R$ 1.239,50</v>
      </c>
    </row>
    <row r="1312" spans="1:11" x14ac:dyDescent="0.25">
      <c r="A1312" t="str">
        <f>"00000663 / 1"</f>
        <v>00000663 / 1</v>
      </c>
      <c r="B1312" t="str">
        <f>"13° Salário Anual"</f>
        <v>13° Salário Anual</v>
      </c>
      <c r="C1312" t="str">
        <f>"Maria Gorete Moreira de Sousa"</f>
        <v>Maria Gorete Moreira de Sousa</v>
      </c>
      <c r="D1312" t="str">
        <f>"PROFESSOR"</f>
        <v>PROFESSOR</v>
      </c>
      <c r="E1312" t="str">
        <f>"Efetivo-Inativo I- RJUSM"</f>
        <v>Efetivo-Inativo I- RJUSM</v>
      </c>
      <c r="F1312" t="str">
        <f>"R$ 1.593,46"</f>
        <v>R$ 1.593,46</v>
      </c>
      <c r="G1312" t="str">
        <f>"R$ 1.991,82"</f>
        <v>R$ 1.991,82</v>
      </c>
      <c r="H1312" t="str">
        <f t="shared" ref="H1312:H1375" si="128">"R$ 0,00"</f>
        <v>R$ 0,00</v>
      </c>
      <c r="I1312" t="str">
        <f>"R$ 1.991,82"</f>
        <v>R$ 1.991,82</v>
      </c>
      <c r="J1312" t="str">
        <f>"R$ 1.002,49"</f>
        <v>R$ 1.002,49</v>
      </c>
      <c r="K1312" t="str">
        <f>"R$ 989,33"</f>
        <v>R$ 989,33</v>
      </c>
    </row>
    <row r="1313" spans="1:11" x14ac:dyDescent="0.25">
      <c r="A1313" t="str">
        <f>"00000663 / 1"</f>
        <v>00000663 / 1</v>
      </c>
      <c r="B1313" t="str">
        <f>"Folha Mensal"</f>
        <v>Folha Mensal</v>
      </c>
      <c r="C1313" t="str">
        <f>"Maria Gorete Moreira de Sousa"</f>
        <v>Maria Gorete Moreira de Sousa</v>
      </c>
      <c r="D1313" t="str">
        <f>"PROFESSOR"</f>
        <v>PROFESSOR</v>
      </c>
      <c r="E1313" t="str">
        <f>"Efetivo-Inativo I- RJUSM"</f>
        <v>Efetivo-Inativo I- RJUSM</v>
      </c>
      <c r="F1313" t="str">
        <f>"R$ 1.593,46"</f>
        <v>R$ 1.593,46</v>
      </c>
      <c r="G1313" t="str">
        <f>"R$ 1.991,82"</f>
        <v>R$ 1.991,82</v>
      </c>
      <c r="H1313" t="str">
        <f t="shared" si="128"/>
        <v>R$ 0,00</v>
      </c>
      <c r="I1313" t="str">
        <f>"R$ 1.991,82"</f>
        <v>R$ 1.991,82</v>
      </c>
      <c r="J1313" t="str">
        <f>"R$ 6,58"</f>
        <v>R$ 6,58</v>
      </c>
      <c r="K1313" t="str">
        <f>"R$ 1.985,24"</f>
        <v>R$ 1.985,24</v>
      </c>
    </row>
    <row r="1314" spans="1:11" x14ac:dyDescent="0.25">
      <c r="A1314" t="str">
        <f>"00027707 / 1"</f>
        <v>00027707 / 1</v>
      </c>
      <c r="B1314" t="str">
        <f>"13° Salário Anual"</f>
        <v>13° Salário Anual</v>
      </c>
      <c r="C1314" t="str">
        <f>"Maria Goretti Pantoja Oliveira"</f>
        <v>Maria Goretti Pantoja Oliveira</v>
      </c>
      <c r="D1314" t="str">
        <f>"PROFESSOR NIVEL II"</f>
        <v>PROFESSOR NIVEL II</v>
      </c>
      <c r="E1314" t="str">
        <f>"Efetivo-Inativos II-RJUSM"</f>
        <v>Efetivo-Inativos II-RJUSM</v>
      </c>
      <c r="F1314" t="str">
        <f>"R$ 4.780,42"</f>
        <v>R$ 4.780,42</v>
      </c>
      <c r="G1314" t="str">
        <f>"R$ 6.214,54"</f>
        <v>R$ 6.214,54</v>
      </c>
      <c r="H1314" t="str">
        <f t="shared" si="128"/>
        <v>R$ 0,00</v>
      </c>
      <c r="I1314" t="str">
        <f>"R$ 6.214,54"</f>
        <v>R$ 6.214,54</v>
      </c>
      <c r="J1314" t="str">
        <f>"R$ 3.958,42"</f>
        <v>R$ 3.958,42</v>
      </c>
      <c r="K1314" t="str">
        <f>"R$ 2.256,12"</f>
        <v>R$ 2.256,12</v>
      </c>
    </row>
    <row r="1315" spans="1:11" x14ac:dyDescent="0.25">
      <c r="A1315" t="str">
        <f>"00027707 / 1"</f>
        <v>00027707 / 1</v>
      </c>
      <c r="B1315" t="str">
        <f>"Folha Mensal"</f>
        <v>Folha Mensal</v>
      </c>
      <c r="C1315" t="str">
        <f>"Maria Goretti Pantoja Oliveira"</f>
        <v>Maria Goretti Pantoja Oliveira</v>
      </c>
      <c r="D1315" t="str">
        <f>"PROFESSOR NIVEL II"</f>
        <v>PROFESSOR NIVEL II</v>
      </c>
      <c r="E1315" t="str">
        <f>"Efetivo-Inativos II-RJUSM"</f>
        <v>Efetivo-Inativos II-RJUSM</v>
      </c>
      <c r="F1315" t="str">
        <f>"R$ 4.780,42"</f>
        <v>R$ 4.780,42</v>
      </c>
      <c r="G1315" t="str">
        <f>"R$ 6.214,54"</f>
        <v>R$ 6.214,54</v>
      </c>
      <c r="H1315" t="str">
        <f t="shared" si="128"/>
        <v>R$ 0,00</v>
      </c>
      <c r="I1315" t="str">
        <f>"R$ 6.214,54"</f>
        <v>R$ 6.214,54</v>
      </c>
      <c r="J1315" t="str">
        <f>"R$ 2.392,19"</f>
        <v>R$ 2.392,19</v>
      </c>
      <c r="K1315" t="str">
        <f>"R$ 3.822,35"</f>
        <v>R$ 3.822,35</v>
      </c>
    </row>
    <row r="1316" spans="1:11" x14ac:dyDescent="0.25">
      <c r="A1316" t="str">
        <f>"00023485 / 1"</f>
        <v>00023485 / 1</v>
      </c>
      <c r="B1316" t="str">
        <f>"13° Salário Anual"</f>
        <v>13° Salário Anual</v>
      </c>
      <c r="C1316" t="str">
        <f>"Maria Graciete Miranda Trindade"</f>
        <v>Maria Graciete Miranda Trindade</v>
      </c>
      <c r="D1316" t="str">
        <f>"INT TEMP CONTRIBUICAO"</f>
        <v>INT TEMP CONTRIBUICAO</v>
      </c>
      <c r="E1316" t="str">
        <f>"Efetivo-Inativos II-RJUSM"</f>
        <v>Efetivo-Inativos II-RJUSM</v>
      </c>
      <c r="F1316" t="str">
        <f>"R$ 1.100,00"</f>
        <v>R$ 1.100,00</v>
      </c>
      <c r="G1316" t="str">
        <f>"R$ 1.430,00"</f>
        <v>R$ 1.430,00</v>
      </c>
      <c r="H1316" t="str">
        <f t="shared" si="128"/>
        <v>R$ 0,00</v>
      </c>
      <c r="I1316" t="str">
        <f>"R$ 1.430,00"</f>
        <v>R$ 1.430,00</v>
      </c>
      <c r="J1316" t="str">
        <f>"R$ 715,00"</f>
        <v>R$ 715,00</v>
      </c>
      <c r="K1316" t="str">
        <f>"R$ 715,00"</f>
        <v>R$ 715,00</v>
      </c>
    </row>
    <row r="1317" spans="1:11" x14ac:dyDescent="0.25">
      <c r="A1317" t="str">
        <f>"00023485 / 1"</f>
        <v>00023485 / 1</v>
      </c>
      <c r="B1317" t="str">
        <f>"Folha Mensal"</f>
        <v>Folha Mensal</v>
      </c>
      <c r="C1317" t="str">
        <f>"Maria Graciete Miranda Trindade"</f>
        <v>Maria Graciete Miranda Trindade</v>
      </c>
      <c r="D1317" t="str">
        <f>"INT TEMP CONTRIBUICAO"</f>
        <v>INT TEMP CONTRIBUICAO</v>
      </c>
      <c r="E1317" t="str">
        <f>"Efetivo-Inativos II-RJUSM"</f>
        <v>Efetivo-Inativos II-RJUSM</v>
      </c>
      <c r="F1317" t="str">
        <f>"R$ 1.100,00"</f>
        <v>R$ 1.100,00</v>
      </c>
      <c r="G1317" t="str">
        <f>"R$ 1.430,00"</f>
        <v>R$ 1.430,00</v>
      </c>
      <c r="H1317" t="str">
        <f t="shared" si="128"/>
        <v>R$ 0,00</v>
      </c>
      <c r="I1317" t="str">
        <f>"R$ 1.430,00"</f>
        <v>R$ 1.430,00</v>
      </c>
      <c r="J1317" t="str">
        <f>"R$ 288,77"</f>
        <v>R$ 288,77</v>
      </c>
      <c r="K1317" t="str">
        <f>"R$ 1.141,23"</f>
        <v>R$ 1.141,23</v>
      </c>
    </row>
    <row r="1318" spans="1:11" x14ac:dyDescent="0.25">
      <c r="A1318" t="str">
        <f>"00029483 / 1"</f>
        <v>00029483 / 1</v>
      </c>
      <c r="B1318" t="str">
        <f>"13° Salário Anual"</f>
        <v>13° Salário Anual</v>
      </c>
      <c r="C1318" t="str">
        <f>"Maria Guadalupe Santiago Aleixo"</f>
        <v>Maria Guadalupe Santiago Aleixo</v>
      </c>
      <c r="D1318" t="str">
        <f>"PROFESSOR"</f>
        <v>PROFESSOR</v>
      </c>
      <c r="E1318" t="str">
        <f t="shared" ref="E1318:E1327" si="129">"Efetivo-Inativo I- RJUSM"</f>
        <v>Efetivo-Inativo I- RJUSM</v>
      </c>
      <c r="F1318" t="str">
        <f>"R$ 1.593,46"</f>
        <v>R$ 1.593,46</v>
      </c>
      <c r="G1318" t="str">
        <f>"R$ 1.991,82"</f>
        <v>R$ 1.991,82</v>
      </c>
      <c r="H1318" t="str">
        <f t="shared" si="128"/>
        <v>R$ 0,00</v>
      </c>
      <c r="I1318" t="str">
        <f>"R$ 1.991,82"</f>
        <v>R$ 1.991,82</v>
      </c>
      <c r="J1318" t="str">
        <f>"R$ 995,91"</f>
        <v>R$ 995,91</v>
      </c>
      <c r="K1318" t="str">
        <f>"R$ 995,91"</f>
        <v>R$ 995,91</v>
      </c>
    </row>
    <row r="1319" spans="1:11" x14ac:dyDescent="0.25">
      <c r="A1319" t="str">
        <f>"00029483 / 1"</f>
        <v>00029483 / 1</v>
      </c>
      <c r="B1319" t="str">
        <f>"Folha Mensal"</f>
        <v>Folha Mensal</v>
      </c>
      <c r="C1319" t="str">
        <f>"Maria Guadalupe Santiago Aleixo"</f>
        <v>Maria Guadalupe Santiago Aleixo</v>
      </c>
      <c r="D1319" t="str">
        <f>"PROFESSOR"</f>
        <v>PROFESSOR</v>
      </c>
      <c r="E1319" t="str">
        <f t="shared" si="129"/>
        <v>Efetivo-Inativo I- RJUSM</v>
      </c>
      <c r="F1319" t="str">
        <f>"R$ 1.593,46"</f>
        <v>R$ 1.593,46</v>
      </c>
      <c r="G1319" t="str">
        <f>"R$ 1.991,82"</f>
        <v>R$ 1.991,82</v>
      </c>
      <c r="H1319" t="str">
        <f t="shared" si="128"/>
        <v>R$ 0,00</v>
      </c>
      <c r="I1319" t="str">
        <f>"R$ 1.991,82"</f>
        <v>R$ 1.991,82</v>
      </c>
      <c r="J1319" t="str">
        <f>"R$ 0,00"</f>
        <v>R$ 0,00</v>
      </c>
      <c r="K1319" t="str">
        <f>"R$ 1.991,82"</f>
        <v>R$ 1.991,82</v>
      </c>
    </row>
    <row r="1320" spans="1:11" x14ac:dyDescent="0.25">
      <c r="A1320" t="str">
        <f>"00009504 / 1"</f>
        <v>00009504 / 1</v>
      </c>
      <c r="B1320" t="str">
        <f>"13° Salário Anual"</f>
        <v>13° Salário Anual</v>
      </c>
      <c r="C1320" t="str">
        <f>"Maria Helena de Assis Laranjeira"</f>
        <v>Maria Helena de Assis Laranjeira</v>
      </c>
      <c r="D1320" t="str">
        <f>"PROFESSOR NIVEL II"</f>
        <v>PROFESSOR NIVEL II</v>
      </c>
      <c r="E1320" t="str">
        <f t="shared" si="129"/>
        <v>Efetivo-Inativo I- RJUSM</v>
      </c>
      <c r="F1320" t="str">
        <f>"R$ 5.577,14"</f>
        <v>R$ 5.577,14</v>
      </c>
      <c r="G1320" t="str">
        <f>"R$ 6.971,42"</f>
        <v>R$ 6.971,42</v>
      </c>
      <c r="H1320" t="str">
        <f t="shared" si="128"/>
        <v>R$ 0,00</v>
      </c>
      <c r="I1320" t="str">
        <f>"R$ 6.971,42"</f>
        <v>R$ 6.971,42</v>
      </c>
      <c r="J1320" t="str">
        <f>"R$ 4.621,83"</f>
        <v>R$ 4.621,83</v>
      </c>
      <c r="K1320" t="str">
        <f>"R$ 2.349,59"</f>
        <v>R$ 2.349,59</v>
      </c>
    </row>
    <row r="1321" spans="1:11" x14ac:dyDescent="0.25">
      <c r="A1321" t="str">
        <f>"00009504 / 1"</f>
        <v>00009504 / 1</v>
      </c>
      <c r="B1321" t="str">
        <f>"Folha Mensal"</f>
        <v>Folha Mensal</v>
      </c>
      <c r="C1321" t="str">
        <f>"Maria Helena de Assis Laranjeira"</f>
        <v>Maria Helena de Assis Laranjeira</v>
      </c>
      <c r="D1321" t="str">
        <f>"PROFESSOR NIVEL II"</f>
        <v>PROFESSOR NIVEL II</v>
      </c>
      <c r="E1321" t="str">
        <f t="shared" si="129"/>
        <v>Efetivo-Inativo I- RJUSM</v>
      </c>
      <c r="F1321" t="str">
        <f>"R$ 5.577,14"</f>
        <v>R$ 5.577,14</v>
      </c>
      <c r="G1321" t="str">
        <f>"R$ 6.971,42"</f>
        <v>R$ 6.971,42</v>
      </c>
      <c r="H1321" t="str">
        <f t="shared" si="128"/>
        <v>R$ 0,00</v>
      </c>
      <c r="I1321" t="str">
        <f>"R$ 6.971,42"</f>
        <v>R$ 6.971,42</v>
      </c>
      <c r="J1321" t="str">
        <f>"R$ 2.886,69"</f>
        <v>R$ 2.886,69</v>
      </c>
      <c r="K1321" t="str">
        <f>"R$ 4.084,73"</f>
        <v>R$ 4.084,73</v>
      </c>
    </row>
    <row r="1322" spans="1:11" x14ac:dyDescent="0.25">
      <c r="A1322" t="str">
        <f>"00005720 / 1"</f>
        <v>00005720 / 1</v>
      </c>
      <c r="B1322" t="str">
        <f>"13° Salário Anual"</f>
        <v>13° Salário Anual</v>
      </c>
      <c r="C1322" t="str">
        <f>"Maria Helena de Freitas"</f>
        <v>Maria Helena de Freitas</v>
      </c>
      <c r="D1322" t="str">
        <f>"PROP IDADE"</f>
        <v>PROP IDADE</v>
      </c>
      <c r="E1322" t="str">
        <f t="shared" si="129"/>
        <v>Efetivo-Inativo I- RJUSM</v>
      </c>
      <c r="F1322" t="str">
        <f>"R$ 850,46"</f>
        <v>R$ 850,46</v>
      </c>
      <c r="G1322" t="str">
        <f>"R$ 1.100,00"</f>
        <v>R$ 1.100,00</v>
      </c>
      <c r="H1322" t="str">
        <f t="shared" si="128"/>
        <v>R$ 0,00</v>
      </c>
      <c r="I1322" t="str">
        <f>"R$ 1.100,00"</f>
        <v>R$ 1.100,00</v>
      </c>
      <c r="J1322" t="str">
        <f>"R$ 550,00"</f>
        <v>R$ 550,00</v>
      </c>
      <c r="K1322" t="str">
        <f>"R$ 550,00"</f>
        <v>R$ 550,00</v>
      </c>
    </row>
    <row r="1323" spans="1:11" x14ac:dyDescent="0.25">
      <c r="A1323" t="str">
        <f>"00005720 / 1"</f>
        <v>00005720 / 1</v>
      </c>
      <c r="B1323" t="str">
        <f>"Folha Mensal"</f>
        <v>Folha Mensal</v>
      </c>
      <c r="C1323" t="str">
        <f>"Maria Helena de Freitas"</f>
        <v>Maria Helena de Freitas</v>
      </c>
      <c r="D1323" t="str">
        <f>"PROP IDADE"</f>
        <v>PROP IDADE</v>
      </c>
      <c r="E1323" t="str">
        <f t="shared" si="129"/>
        <v>Efetivo-Inativo I- RJUSM</v>
      </c>
      <c r="F1323" t="str">
        <f>"R$ 850,46"</f>
        <v>R$ 850,46</v>
      </c>
      <c r="G1323" t="str">
        <f>"R$ 1.100,00"</f>
        <v>R$ 1.100,00</v>
      </c>
      <c r="H1323" t="str">
        <f t="shared" si="128"/>
        <v>R$ 0,00</v>
      </c>
      <c r="I1323" t="str">
        <f>"R$ 1.100,00"</f>
        <v>R$ 1.100,00</v>
      </c>
      <c r="J1323" t="str">
        <f>"R$ 0,00"</f>
        <v>R$ 0,00</v>
      </c>
      <c r="K1323" t="str">
        <f>"R$ 1.100,00"</f>
        <v>R$ 1.100,00</v>
      </c>
    </row>
    <row r="1324" spans="1:11" x14ac:dyDescent="0.25">
      <c r="A1324" t="str">
        <f>"00048828 / 1"</f>
        <v>00048828 / 1</v>
      </c>
      <c r="B1324" t="str">
        <f>"13° Salário Anual"</f>
        <v>13° Salário Anual</v>
      </c>
      <c r="C1324" t="str">
        <f>"Maria Helena de Moraes Rodrigues"</f>
        <v>Maria Helena de Moraes Rodrigues</v>
      </c>
      <c r="D1324" t="str">
        <f>"PROFESSOR NIVEL III"</f>
        <v>PROFESSOR NIVEL III</v>
      </c>
      <c r="E1324" t="str">
        <f t="shared" si="129"/>
        <v>Efetivo-Inativo I- RJUSM</v>
      </c>
      <c r="F1324" t="str">
        <f>"R$ 4.421,89"</f>
        <v>R$ 4.421,89</v>
      </c>
      <c r="G1324" t="str">
        <f>"R$ 8.180,49"</f>
        <v>R$ 8.180,49</v>
      </c>
      <c r="H1324" t="str">
        <f t="shared" si="128"/>
        <v>R$ 0,00</v>
      </c>
      <c r="I1324" t="str">
        <f>"R$ 8.180,49"</f>
        <v>R$ 8.180,49</v>
      </c>
      <c r="J1324" t="str">
        <f>"R$ 4.553,11"</f>
        <v>R$ 4.553,11</v>
      </c>
      <c r="K1324" t="str">
        <f>"R$ 3.627,38"</f>
        <v>R$ 3.627,38</v>
      </c>
    </row>
    <row r="1325" spans="1:11" x14ac:dyDescent="0.25">
      <c r="A1325" t="str">
        <f>"00048828 / 1"</f>
        <v>00048828 / 1</v>
      </c>
      <c r="B1325" t="str">
        <f>"Folha Mensal"</f>
        <v>Folha Mensal</v>
      </c>
      <c r="C1325" t="str">
        <f>"Maria Helena de Moraes Rodrigues"</f>
        <v>Maria Helena de Moraes Rodrigues</v>
      </c>
      <c r="D1325" t="str">
        <f>"PROFESSOR NIVEL III"</f>
        <v>PROFESSOR NIVEL III</v>
      </c>
      <c r="E1325" t="str">
        <f t="shared" si="129"/>
        <v>Efetivo-Inativo I- RJUSM</v>
      </c>
      <c r="F1325" t="str">
        <f>"R$ 4.421,89"</f>
        <v>R$ 4.421,89</v>
      </c>
      <c r="G1325" t="str">
        <f>"R$ 8.180,49"</f>
        <v>R$ 8.180,49</v>
      </c>
      <c r="H1325" t="str">
        <f t="shared" si="128"/>
        <v>R$ 0,00</v>
      </c>
      <c r="I1325" t="str">
        <f>"R$ 8.180,49"</f>
        <v>R$ 8.180,49</v>
      </c>
      <c r="J1325" t="str">
        <f>"R$ 1.015,60"</f>
        <v>R$ 1.015,60</v>
      </c>
      <c r="K1325" t="str">
        <f>"R$ 7.164,89"</f>
        <v>R$ 7.164,89</v>
      </c>
    </row>
    <row r="1326" spans="1:11" x14ac:dyDescent="0.25">
      <c r="A1326" t="str">
        <f>"00023477 / 1"</f>
        <v>00023477 / 1</v>
      </c>
      <c r="B1326" t="str">
        <f>"13° Salário Anual"</f>
        <v>13° Salário Anual</v>
      </c>
      <c r="C1326" t="str">
        <f>"Maria Helena Serrao da Silva"</f>
        <v>Maria Helena Serrao da Silva</v>
      </c>
      <c r="D1326" t="str">
        <f>"PROP IDADE"</f>
        <v>PROP IDADE</v>
      </c>
      <c r="E1326" t="str">
        <f t="shared" si="129"/>
        <v>Efetivo-Inativo I- RJUSM</v>
      </c>
      <c r="F1326" t="str">
        <f>"R$ 1.100,00"</f>
        <v>R$ 1.100,00</v>
      </c>
      <c r="G1326" t="str">
        <f>"R$ 1.100,00"</f>
        <v>R$ 1.100,00</v>
      </c>
      <c r="H1326" t="str">
        <f t="shared" si="128"/>
        <v>R$ 0,00</v>
      </c>
      <c r="I1326" t="str">
        <f>"R$ 1.100,00"</f>
        <v>R$ 1.100,00</v>
      </c>
      <c r="J1326" t="str">
        <f>"R$ 550,00"</f>
        <v>R$ 550,00</v>
      </c>
      <c r="K1326" t="str">
        <f>"R$ 550,00"</f>
        <v>R$ 550,00</v>
      </c>
    </row>
    <row r="1327" spans="1:11" x14ac:dyDescent="0.25">
      <c r="A1327" t="str">
        <f>"00023477 / 1"</f>
        <v>00023477 / 1</v>
      </c>
      <c r="B1327" t="str">
        <f>"Folha Mensal"</f>
        <v>Folha Mensal</v>
      </c>
      <c r="C1327" t="str">
        <f>"Maria Helena Serrao da Silva"</f>
        <v>Maria Helena Serrao da Silva</v>
      </c>
      <c r="D1327" t="str">
        <f>"PROP IDADE"</f>
        <v>PROP IDADE</v>
      </c>
      <c r="E1327" t="str">
        <f t="shared" si="129"/>
        <v>Efetivo-Inativo I- RJUSM</v>
      </c>
      <c r="F1327" t="str">
        <f>"R$ 1.100,00"</f>
        <v>R$ 1.100,00</v>
      </c>
      <c r="G1327" t="str">
        <f>"R$ 1.100,00"</f>
        <v>R$ 1.100,00</v>
      </c>
      <c r="H1327" t="str">
        <f t="shared" si="128"/>
        <v>R$ 0,00</v>
      </c>
      <c r="I1327" t="str">
        <f>"R$ 1.100,00"</f>
        <v>R$ 1.100,00</v>
      </c>
      <c r="J1327" t="str">
        <f>"R$ 0,00"</f>
        <v>R$ 0,00</v>
      </c>
      <c r="K1327" t="str">
        <f>"R$ 1.100,00"</f>
        <v>R$ 1.100,00</v>
      </c>
    </row>
    <row r="1328" spans="1:11" x14ac:dyDescent="0.25">
      <c r="A1328" t="str">
        <f>"03642887 / 1"</f>
        <v>03642887 / 1</v>
      </c>
      <c r="B1328" t="str">
        <f>"13° Salário Anual"</f>
        <v>13° Salário Anual</v>
      </c>
      <c r="C1328" t="str">
        <f>"Maria Hilaria Farias Fernandes"</f>
        <v>Maria Hilaria Farias Fernandes</v>
      </c>
      <c r="D1328" t="str">
        <f>"PENSIONISTA"</f>
        <v>PENSIONISTA</v>
      </c>
      <c r="E1328" t="str">
        <f>"Pensionista"</f>
        <v>Pensionista</v>
      </c>
      <c r="F1328" t="str">
        <f>"R$ 1.100,00"</f>
        <v>R$ 1.100,00</v>
      </c>
      <c r="G1328" t="str">
        <f>"R$ 1.430,00"</f>
        <v>R$ 1.430,00</v>
      </c>
      <c r="H1328" t="str">
        <f t="shared" si="128"/>
        <v>R$ 0,00</v>
      </c>
      <c r="I1328" t="str">
        <f>"R$ 1.430,00"</f>
        <v>R$ 1.430,00</v>
      </c>
      <c r="J1328" t="str">
        <f>"R$ 715,00"</f>
        <v>R$ 715,00</v>
      </c>
      <c r="K1328" t="str">
        <f>"R$ 715,00"</f>
        <v>R$ 715,00</v>
      </c>
    </row>
    <row r="1329" spans="1:11" x14ac:dyDescent="0.25">
      <c r="A1329" t="str">
        <f>"03642887 / 1"</f>
        <v>03642887 / 1</v>
      </c>
      <c r="B1329" t="str">
        <f>"Folha Mensal"</f>
        <v>Folha Mensal</v>
      </c>
      <c r="C1329" t="str">
        <f>"Maria Hilaria Farias Fernandes"</f>
        <v>Maria Hilaria Farias Fernandes</v>
      </c>
      <c r="D1329" t="str">
        <f>"PENSIONISTA"</f>
        <v>PENSIONISTA</v>
      </c>
      <c r="E1329" t="str">
        <f>"Pensionista"</f>
        <v>Pensionista</v>
      </c>
      <c r="F1329" t="str">
        <f>"R$ 1.100,00"</f>
        <v>R$ 1.100,00</v>
      </c>
      <c r="G1329" t="str">
        <f>"R$ 1.430,00"</f>
        <v>R$ 1.430,00</v>
      </c>
      <c r="H1329" t="str">
        <f t="shared" si="128"/>
        <v>R$ 0,00</v>
      </c>
      <c r="I1329" t="str">
        <f>"R$ 1.430,00"</f>
        <v>R$ 1.430,00</v>
      </c>
      <c r="J1329" t="str">
        <f>"R$ 0,00"</f>
        <v>R$ 0,00</v>
      </c>
      <c r="K1329" t="str">
        <f>"R$ 1.430,00"</f>
        <v>R$ 1.430,00</v>
      </c>
    </row>
    <row r="1330" spans="1:11" x14ac:dyDescent="0.25">
      <c r="A1330" t="str">
        <f>"00006106 / 2"</f>
        <v>00006106 / 2</v>
      </c>
      <c r="B1330" t="str">
        <f>"13° Salário Anual"</f>
        <v>13° Salário Anual</v>
      </c>
      <c r="C1330" t="str">
        <f>"Maria Hilda Seixas"</f>
        <v>Maria Hilda Seixas</v>
      </c>
      <c r="D1330" t="str">
        <f>"PROFESSOR NIVEL III"</f>
        <v>PROFESSOR NIVEL III</v>
      </c>
      <c r="E1330" t="str">
        <f t="shared" ref="E1330:E1335" si="130">"Efetivo-Inativo I- RJUSM"</f>
        <v>Efetivo-Inativo I- RJUSM</v>
      </c>
      <c r="F1330" t="str">
        <f>"R$ 2.902,87"</f>
        <v>R$ 2.902,87</v>
      </c>
      <c r="G1330" t="str">
        <f>"R$ 3.628,58"</f>
        <v>R$ 3.628,58</v>
      </c>
      <c r="H1330" t="str">
        <f t="shared" si="128"/>
        <v>R$ 0,00</v>
      </c>
      <c r="I1330" t="str">
        <f>"R$ 3.628,58"</f>
        <v>R$ 3.628,58</v>
      </c>
      <c r="J1330" t="str">
        <f>"R$ 1.814,29"</f>
        <v>R$ 1.814,29</v>
      </c>
      <c r="K1330" t="str">
        <f>"R$ 1.814,29"</f>
        <v>R$ 1.814,29</v>
      </c>
    </row>
    <row r="1331" spans="1:11" x14ac:dyDescent="0.25">
      <c r="A1331" t="str">
        <f>"00006106 / 2"</f>
        <v>00006106 / 2</v>
      </c>
      <c r="B1331" t="str">
        <f>"Folha Mensal"</f>
        <v>Folha Mensal</v>
      </c>
      <c r="C1331" t="str">
        <f>"Maria Hilda Seixas"</f>
        <v>Maria Hilda Seixas</v>
      </c>
      <c r="D1331" t="str">
        <f>"PROFESSOR NIVEL III"</f>
        <v>PROFESSOR NIVEL III</v>
      </c>
      <c r="E1331" t="str">
        <f t="shared" si="130"/>
        <v>Efetivo-Inativo I- RJUSM</v>
      </c>
      <c r="F1331" t="str">
        <f>"R$ 2.902,87"</f>
        <v>R$ 2.902,87</v>
      </c>
      <c r="G1331" t="str">
        <f>"R$ 3.628,58"</f>
        <v>R$ 3.628,58</v>
      </c>
      <c r="H1331" t="str">
        <f t="shared" si="128"/>
        <v>R$ 0,00</v>
      </c>
      <c r="I1331" t="str">
        <f>"R$ 3.628,58"</f>
        <v>R$ 3.628,58</v>
      </c>
      <c r="J1331" t="str">
        <f>"R$ 0,00"</f>
        <v>R$ 0,00</v>
      </c>
      <c r="K1331" t="str">
        <f>"R$ 3.628,58"</f>
        <v>R$ 3.628,58</v>
      </c>
    </row>
    <row r="1332" spans="1:11" x14ac:dyDescent="0.25">
      <c r="A1332" t="str">
        <f>"00006424 / 1"</f>
        <v>00006424 / 1</v>
      </c>
      <c r="B1332" t="str">
        <f>"13° Salário Anual"</f>
        <v>13° Salário Anual</v>
      </c>
      <c r="C1332" t="str">
        <f>"Maria Ieda Moraes dos Santos"</f>
        <v>Maria Ieda Moraes dos Santos</v>
      </c>
      <c r="D1332" t="str">
        <f>"PROFESSOR"</f>
        <v>PROFESSOR</v>
      </c>
      <c r="E1332" t="str">
        <f t="shared" si="130"/>
        <v>Efetivo-Inativo I- RJUSM</v>
      </c>
      <c r="F1332" t="str">
        <f>"R$ 1.593,46"</f>
        <v>R$ 1.593,46</v>
      </c>
      <c r="G1332" t="str">
        <f>"R$ 1.991,82"</f>
        <v>R$ 1.991,82</v>
      </c>
      <c r="H1332" t="str">
        <f t="shared" si="128"/>
        <v>R$ 0,00</v>
      </c>
      <c r="I1332" t="str">
        <f>"R$ 1.991,82"</f>
        <v>R$ 1.991,82</v>
      </c>
      <c r="J1332" t="str">
        <f>"R$ 995,91"</f>
        <v>R$ 995,91</v>
      </c>
      <c r="K1332" t="str">
        <f>"R$ 995,91"</f>
        <v>R$ 995,91</v>
      </c>
    </row>
    <row r="1333" spans="1:11" x14ac:dyDescent="0.25">
      <c r="A1333" t="str">
        <f>"00006424 / 1"</f>
        <v>00006424 / 1</v>
      </c>
      <c r="B1333" t="str">
        <f>"Folha Mensal"</f>
        <v>Folha Mensal</v>
      </c>
      <c r="C1333" t="str">
        <f>"Maria Ieda Moraes dos Santos"</f>
        <v>Maria Ieda Moraes dos Santos</v>
      </c>
      <c r="D1333" t="str">
        <f>"PROFESSOR"</f>
        <v>PROFESSOR</v>
      </c>
      <c r="E1333" t="str">
        <f t="shared" si="130"/>
        <v>Efetivo-Inativo I- RJUSM</v>
      </c>
      <c r="F1333" t="str">
        <f>"R$ 1.593,46"</f>
        <v>R$ 1.593,46</v>
      </c>
      <c r="G1333" t="str">
        <f>"R$ 1.991,82"</f>
        <v>R$ 1.991,82</v>
      </c>
      <c r="H1333" t="str">
        <f t="shared" si="128"/>
        <v>R$ 0,00</v>
      </c>
      <c r="I1333" t="str">
        <f>"R$ 1.991,82"</f>
        <v>R$ 1.991,82</v>
      </c>
      <c r="J1333" t="str">
        <f>"R$ 0,00"</f>
        <v>R$ 0,00</v>
      </c>
      <c r="K1333" t="str">
        <f>"R$ 1.991,82"</f>
        <v>R$ 1.991,82</v>
      </c>
    </row>
    <row r="1334" spans="1:11" x14ac:dyDescent="0.25">
      <c r="A1334" t="str">
        <f>"00027537 / 1"</f>
        <v>00027537 / 1</v>
      </c>
      <c r="B1334" t="str">
        <f>"13° Salário Anual"</f>
        <v>13° Salário Anual</v>
      </c>
      <c r="C1334" t="str">
        <f>"Maria Ieda Vargas Andrade"</f>
        <v>Maria Ieda Vargas Andrade</v>
      </c>
      <c r="D1334" t="str">
        <f>"PROP IDADE"</f>
        <v>PROP IDADE</v>
      </c>
      <c r="E1334" t="str">
        <f t="shared" si="130"/>
        <v>Efetivo-Inativo I- RJUSM</v>
      </c>
      <c r="F1334" t="str">
        <f>"R$ 1.100,00"</f>
        <v>R$ 1.100,00</v>
      </c>
      <c r="G1334" t="str">
        <f>"R$ 1.100,00"</f>
        <v>R$ 1.100,00</v>
      </c>
      <c r="H1334" t="str">
        <f t="shared" si="128"/>
        <v>R$ 0,00</v>
      </c>
      <c r="I1334" t="str">
        <f>"R$ 1.100,00"</f>
        <v>R$ 1.100,00</v>
      </c>
      <c r="J1334" t="str">
        <f>"R$ 550,00"</f>
        <v>R$ 550,00</v>
      </c>
      <c r="K1334" t="str">
        <f>"R$ 550,00"</f>
        <v>R$ 550,00</v>
      </c>
    </row>
    <row r="1335" spans="1:11" x14ac:dyDescent="0.25">
      <c r="A1335" t="str">
        <f>"00027537 / 1"</f>
        <v>00027537 / 1</v>
      </c>
      <c r="B1335" t="str">
        <f>"Folha Mensal"</f>
        <v>Folha Mensal</v>
      </c>
      <c r="C1335" t="str">
        <f>"Maria Ieda Vargas Andrade"</f>
        <v>Maria Ieda Vargas Andrade</v>
      </c>
      <c r="D1335" t="str">
        <f>"PROP IDADE"</f>
        <v>PROP IDADE</v>
      </c>
      <c r="E1335" t="str">
        <f t="shared" si="130"/>
        <v>Efetivo-Inativo I- RJUSM</v>
      </c>
      <c r="F1335" t="str">
        <f>"R$ 1.100,00"</f>
        <v>R$ 1.100,00</v>
      </c>
      <c r="G1335" t="str">
        <f>"R$ 1.100,00"</f>
        <v>R$ 1.100,00</v>
      </c>
      <c r="H1335" t="str">
        <f t="shared" si="128"/>
        <v>R$ 0,00</v>
      </c>
      <c r="I1335" t="str">
        <f>"R$ 1.100,00"</f>
        <v>R$ 1.100,00</v>
      </c>
      <c r="J1335" t="str">
        <f>"R$ 233,17"</f>
        <v>R$ 233,17</v>
      </c>
      <c r="K1335" t="str">
        <f>"R$ 866,83"</f>
        <v>R$ 866,83</v>
      </c>
    </row>
    <row r="1336" spans="1:11" x14ac:dyDescent="0.25">
      <c r="A1336" t="str">
        <f>"00005258 / 1"</f>
        <v>00005258 / 1</v>
      </c>
      <c r="B1336" t="str">
        <f>"13° Salário Anual"</f>
        <v>13° Salário Anual</v>
      </c>
      <c r="C1336" t="str">
        <f>"Maria Ines de Lima e Silva"</f>
        <v>Maria Ines de Lima e Silva</v>
      </c>
      <c r="D1336" t="str">
        <f>"PROFESSOR NIVEL III"</f>
        <v>PROFESSOR NIVEL III</v>
      </c>
      <c r="E1336" t="str">
        <f>"Efetivo-Inativos II-RJUSM"</f>
        <v>Efetivo-Inativos II-RJUSM</v>
      </c>
      <c r="F1336" t="str">
        <f>"R$ 2.947,91"</f>
        <v>R$ 2.947,91</v>
      </c>
      <c r="G1336" t="str">
        <f>"R$ 3.832,28"</f>
        <v>R$ 3.832,28</v>
      </c>
      <c r="H1336" t="str">
        <f t="shared" si="128"/>
        <v>R$ 0,00</v>
      </c>
      <c r="I1336" t="str">
        <f>"R$ 3.832,28"</f>
        <v>R$ 3.832,28</v>
      </c>
      <c r="J1336" t="str">
        <f>"R$ 2.142,27"</f>
        <v>R$ 2.142,27</v>
      </c>
      <c r="K1336" t="str">
        <f>"R$ 1.690,01"</f>
        <v>R$ 1.690,01</v>
      </c>
    </row>
    <row r="1337" spans="1:11" x14ac:dyDescent="0.25">
      <c r="A1337" t="str">
        <f>"00005258 / 1"</f>
        <v>00005258 / 1</v>
      </c>
      <c r="B1337" t="str">
        <f>"Folha Mensal"</f>
        <v>Folha Mensal</v>
      </c>
      <c r="C1337" t="str">
        <f>"Maria Ines de Lima e Silva"</f>
        <v>Maria Ines de Lima e Silva</v>
      </c>
      <c r="D1337" t="str">
        <f>"PROFESSOR NIVEL III"</f>
        <v>PROFESSOR NIVEL III</v>
      </c>
      <c r="E1337" t="str">
        <f>"Efetivo-Inativos II-RJUSM"</f>
        <v>Efetivo-Inativos II-RJUSM</v>
      </c>
      <c r="F1337" t="str">
        <f>"R$ 2.947,91"</f>
        <v>R$ 2.947,91</v>
      </c>
      <c r="G1337" t="str">
        <f>"R$ 3.832,28"</f>
        <v>R$ 3.832,28</v>
      </c>
      <c r="H1337" t="str">
        <f t="shared" si="128"/>
        <v>R$ 0,00</v>
      </c>
      <c r="I1337" t="str">
        <f>"R$ 3.832,28"</f>
        <v>R$ 3.832,28</v>
      </c>
      <c r="J1337" t="str">
        <f>"R$ 1.485,87"</f>
        <v>R$ 1.485,87</v>
      </c>
      <c r="K1337" t="str">
        <f>"R$ 2.346,41"</f>
        <v>R$ 2.346,41</v>
      </c>
    </row>
    <row r="1338" spans="1:11" x14ac:dyDescent="0.25">
      <c r="A1338" t="str">
        <f>"00001864 / 1"</f>
        <v>00001864 / 1</v>
      </c>
      <c r="B1338" t="str">
        <f>"13° Salário Anual"</f>
        <v>13° Salário Anual</v>
      </c>
      <c r="C1338" t="str">
        <f>"Maria Iracira de Jesus Ribeiro Soares"</f>
        <v>Maria Iracira de Jesus Ribeiro Soares</v>
      </c>
      <c r="D1338" t="str">
        <f>"PROFESSOR"</f>
        <v>PROFESSOR</v>
      </c>
      <c r="E1338" t="str">
        <f>"Efetivo-Inativo I- RJUSM"</f>
        <v>Efetivo-Inativo I- RJUSM</v>
      </c>
      <c r="F1338" t="str">
        <f>"R$ 1.593,46"</f>
        <v>R$ 1.593,46</v>
      </c>
      <c r="G1338" t="str">
        <f>"R$ 1.991,82"</f>
        <v>R$ 1.991,82</v>
      </c>
      <c r="H1338" t="str">
        <f t="shared" si="128"/>
        <v>R$ 0,00</v>
      </c>
      <c r="I1338" t="str">
        <f>"R$ 1.991,82"</f>
        <v>R$ 1.991,82</v>
      </c>
      <c r="J1338" t="str">
        <f>"R$ 995,91"</f>
        <v>R$ 995,91</v>
      </c>
      <c r="K1338" t="str">
        <f>"R$ 995,91"</f>
        <v>R$ 995,91</v>
      </c>
    </row>
    <row r="1339" spans="1:11" x14ac:dyDescent="0.25">
      <c r="A1339" t="str">
        <f>"00001864 / 1"</f>
        <v>00001864 / 1</v>
      </c>
      <c r="B1339" t="str">
        <f>"Folha Mensal"</f>
        <v>Folha Mensal</v>
      </c>
      <c r="C1339" t="str">
        <f>"Maria Iracira de Jesus Ribeiro Soares"</f>
        <v>Maria Iracira de Jesus Ribeiro Soares</v>
      </c>
      <c r="D1339" t="str">
        <f>"PROFESSOR"</f>
        <v>PROFESSOR</v>
      </c>
      <c r="E1339" t="str">
        <f>"Efetivo-Inativo I- RJUSM"</f>
        <v>Efetivo-Inativo I- RJUSM</v>
      </c>
      <c r="F1339" t="str">
        <f>"R$ 1.593,46"</f>
        <v>R$ 1.593,46</v>
      </c>
      <c r="G1339" t="str">
        <f>"R$ 1.991,82"</f>
        <v>R$ 1.991,82</v>
      </c>
      <c r="H1339" t="str">
        <f t="shared" si="128"/>
        <v>R$ 0,00</v>
      </c>
      <c r="I1339" t="str">
        <f>"R$ 1.991,82"</f>
        <v>R$ 1.991,82</v>
      </c>
      <c r="J1339" t="str">
        <f>"R$ 0,00"</f>
        <v>R$ 0,00</v>
      </c>
      <c r="K1339" t="str">
        <f>"R$ 1.991,82"</f>
        <v>R$ 1.991,82</v>
      </c>
    </row>
    <row r="1340" spans="1:11" x14ac:dyDescent="0.25">
      <c r="A1340" t="str">
        <f>"00002445 / 1"</f>
        <v>00002445 / 1</v>
      </c>
      <c r="B1340" t="str">
        <f>"13° Salário Anual"</f>
        <v>13° Salário Anual</v>
      </c>
      <c r="C1340" t="str">
        <f>"Maria Izabel da Rocha Ribeiro"</f>
        <v>Maria Izabel da Rocha Ribeiro</v>
      </c>
      <c r="D1340" t="str">
        <f>"PROP IDADE"</f>
        <v>PROP IDADE</v>
      </c>
      <c r="E1340" t="str">
        <f>"Efetivo-Inativo I- RJUSM"</f>
        <v>Efetivo-Inativo I- RJUSM</v>
      </c>
      <c r="F1340" t="str">
        <f>"R$ 1.100,00"</f>
        <v>R$ 1.100,00</v>
      </c>
      <c r="G1340" t="str">
        <f>"R$ 1.100,00"</f>
        <v>R$ 1.100,00</v>
      </c>
      <c r="H1340" t="str">
        <f t="shared" si="128"/>
        <v>R$ 0,00</v>
      </c>
      <c r="I1340" t="str">
        <f>"R$ 1.100,00"</f>
        <v>R$ 1.100,00</v>
      </c>
      <c r="J1340" t="str">
        <f>"R$ 550,00"</f>
        <v>R$ 550,00</v>
      </c>
      <c r="K1340" t="str">
        <f>"R$ 550,00"</f>
        <v>R$ 550,00</v>
      </c>
    </row>
    <row r="1341" spans="1:11" x14ac:dyDescent="0.25">
      <c r="A1341" t="str">
        <f>"00002445 / 1"</f>
        <v>00002445 / 1</v>
      </c>
      <c r="B1341" t="str">
        <f>"Folha Mensal"</f>
        <v>Folha Mensal</v>
      </c>
      <c r="C1341" t="str">
        <f>"Maria Izabel da Rocha Ribeiro"</f>
        <v>Maria Izabel da Rocha Ribeiro</v>
      </c>
      <c r="D1341" t="str">
        <f>"PROP IDADE"</f>
        <v>PROP IDADE</v>
      </c>
      <c r="E1341" t="str">
        <f>"Efetivo-Inativo I- RJUSM"</f>
        <v>Efetivo-Inativo I- RJUSM</v>
      </c>
      <c r="F1341" t="str">
        <f>"R$ 1.100,00"</f>
        <v>R$ 1.100,00</v>
      </c>
      <c r="G1341" t="str">
        <f>"R$ 1.100,00"</f>
        <v>R$ 1.100,00</v>
      </c>
      <c r="H1341" t="str">
        <f t="shared" si="128"/>
        <v>R$ 0,00</v>
      </c>
      <c r="I1341" t="str">
        <f>"R$ 1.100,00"</f>
        <v>R$ 1.100,00</v>
      </c>
      <c r="J1341" t="str">
        <f>"R$ 0,00"</f>
        <v>R$ 0,00</v>
      </c>
      <c r="K1341" t="str">
        <f>"R$ 1.100,00"</f>
        <v>R$ 1.100,00</v>
      </c>
    </row>
    <row r="1342" spans="1:11" x14ac:dyDescent="0.25">
      <c r="A1342" t="str">
        <f>"00051950 / 1"</f>
        <v>00051950 / 1</v>
      </c>
      <c r="B1342" t="str">
        <f>"13° Salário Anual"</f>
        <v>13° Salário Anual</v>
      </c>
      <c r="C1342" t="str">
        <f>"Maria Joana Pereira Mourao"</f>
        <v>Maria Joana Pereira Mourao</v>
      </c>
      <c r="D1342" t="str">
        <f>"PROFESSOR NIVEL III"</f>
        <v>PROFESSOR NIVEL III</v>
      </c>
      <c r="E1342" t="str">
        <f>"Efetivo-Inativos II-RJUSM"</f>
        <v>Efetivo-Inativos II-RJUSM</v>
      </c>
      <c r="F1342" t="str">
        <f>"R$ 4.780,39"</f>
        <v>R$ 4.780,39</v>
      </c>
      <c r="G1342" t="str">
        <f>"R$ 5.975,48"</f>
        <v>R$ 5.975,48</v>
      </c>
      <c r="H1342" t="str">
        <f t="shared" si="128"/>
        <v>R$ 0,00</v>
      </c>
      <c r="I1342" t="str">
        <f>"R$ 5.975,48"</f>
        <v>R$ 5.975,48</v>
      </c>
      <c r="J1342" t="str">
        <f>"R$ 3.267,69"</f>
        <v>R$ 3.267,69</v>
      </c>
      <c r="K1342" t="str">
        <f>"R$ 2.707,79"</f>
        <v>R$ 2.707,79</v>
      </c>
    </row>
    <row r="1343" spans="1:11" x14ac:dyDescent="0.25">
      <c r="A1343" t="str">
        <f>"00051950 / 1"</f>
        <v>00051950 / 1</v>
      </c>
      <c r="B1343" t="str">
        <f>"Folha Mensal"</f>
        <v>Folha Mensal</v>
      </c>
      <c r="C1343" t="str">
        <f>"Maria Joana Pereira Mourao"</f>
        <v>Maria Joana Pereira Mourao</v>
      </c>
      <c r="D1343" t="str">
        <f>"PROFESSOR NIVEL III"</f>
        <v>PROFESSOR NIVEL III</v>
      </c>
      <c r="E1343" t="str">
        <f>"Efetivo-Inativos II-RJUSM"</f>
        <v>Efetivo-Inativos II-RJUSM</v>
      </c>
      <c r="F1343" t="str">
        <f>"R$ 4.780,39"</f>
        <v>R$ 4.780,39</v>
      </c>
      <c r="G1343" t="str">
        <f>"R$ 5.975,48"</f>
        <v>R$ 5.975,48</v>
      </c>
      <c r="H1343" t="str">
        <f t="shared" si="128"/>
        <v>R$ 0,00</v>
      </c>
      <c r="I1343" t="str">
        <f>"R$ 5.975,48"</f>
        <v>R$ 5.975,48</v>
      </c>
      <c r="J1343" t="str">
        <f>"R$ 2.270,11"</f>
        <v>R$ 2.270,11</v>
      </c>
      <c r="K1343" t="str">
        <f>"R$ 3.705,37"</f>
        <v>R$ 3.705,37</v>
      </c>
    </row>
    <row r="1344" spans="1:11" x14ac:dyDescent="0.25">
      <c r="A1344" t="str">
        <f>"00265853 / 1"</f>
        <v>00265853 / 1</v>
      </c>
      <c r="B1344" t="str">
        <f>"13° Salário Anual"</f>
        <v>13° Salário Anual</v>
      </c>
      <c r="C1344" t="str">
        <f>"Maria Joaquina Nunes Costa"</f>
        <v>Maria Joaquina Nunes Costa</v>
      </c>
      <c r="D1344" t="str">
        <f>"PROP IDADE"</f>
        <v>PROP IDADE</v>
      </c>
      <c r="E1344" t="str">
        <f t="shared" ref="E1344:E1355" si="131">"Efetivo-Inativo I- RJUSM"</f>
        <v>Efetivo-Inativo I- RJUSM</v>
      </c>
      <c r="F1344" t="str">
        <f>"R$ 1.100,00"</f>
        <v>R$ 1.100,00</v>
      </c>
      <c r="G1344" t="str">
        <f>"R$ 1.100,00"</f>
        <v>R$ 1.100,00</v>
      </c>
      <c r="H1344" t="str">
        <f t="shared" si="128"/>
        <v>R$ 0,00</v>
      </c>
      <c r="I1344" t="str">
        <f>"R$ 1.100,00"</f>
        <v>R$ 1.100,00</v>
      </c>
      <c r="J1344" t="str">
        <f>"R$ 550,00"</f>
        <v>R$ 550,00</v>
      </c>
      <c r="K1344" t="str">
        <f>"R$ 550,00"</f>
        <v>R$ 550,00</v>
      </c>
    </row>
    <row r="1345" spans="1:11" x14ac:dyDescent="0.25">
      <c r="A1345" t="str">
        <f>"00265853 / 1"</f>
        <v>00265853 / 1</v>
      </c>
      <c r="B1345" t="str">
        <f>"Folha Mensal"</f>
        <v>Folha Mensal</v>
      </c>
      <c r="C1345" t="str">
        <f>"Maria Joaquina Nunes Costa"</f>
        <v>Maria Joaquina Nunes Costa</v>
      </c>
      <c r="D1345" t="str">
        <f>"PROP IDADE"</f>
        <v>PROP IDADE</v>
      </c>
      <c r="E1345" t="str">
        <f t="shared" si="131"/>
        <v>Efetivo-Inativo I- RJUSM</v>
      </c>
      <c r="F1345" t="str">
        <f>"R$ 1.100,00"</f>
        <v>R$ 1.100,00</v>
      </c>
      <c r="G1345" t="str">
        <f>"R$ 1.100,00"</f>
        <v>R$ 1.100,00</v>
      </c>
      <c r="H1345" t="str">
        <f t="shared" si="128"/>
        <v>R$ 0,00</v>
      </c>
      <c r="I1345" t="str">
        <f>"R$ 1.100,00"</f>
        <v>R$ 1.100,00</v>
      </c>
      <c r="J1345" t="str">
        <f>"R$ 329,97"</f>
        <v>R$ 329,97</v>
      </c>
      <c r="K1345" t="str">
        <f>"R$ 770,03"</f>
        <v>R$ 770,03</v>
      </c>
    </row>
    <row r="1346" spans="1:11" x14ac:dyDescent="0.25">
      <c r="A1346" t="str">
        <f>"00024961 / 1"</f>
        <v>00024961 / 1</v>
      </c>
      <c r="B1346" t="str">
        <f>"13° Salário Anual"</f>
        <v>13° Salário Anual</v>
      </c>
      <c r="C1346" t="str">
        <f>"Maria Jose Amoedo da Silva"</f>
        <v>Maria Jose Amoedo da Silva</v>
      </c>
      <c r="D1346" t="str">
        <f>"PROFESSOR"</f>
        <v>PROFESSOR</v>
      </c>
      <c r="E1346" t="str">
        <f t="shared" si="131"/>
        <v>Efetivo-Inativo I- RJUSM</v>
      </c>
      <c r="F1346" t="str">
        <f>"R$ 1.593,46"</f>
        <v>R$ 1.593,46</v>
      </c>
      <c r="G1346" t="str">
        <f>"R$ 1.832,47"</f>
        <v>R$ 1.832,47</v>
      </c>
      <c r="H1346" t="str">
        <f t="shared" si="128"/>
        <v>R$ 0,00</v>
      </c>
      <c r="I1346" t="str">
        <f>"R$ 1.832,47"</f>
        <v>R$ 1.832,47</v>
      </c>
      <c r="J1346" t="str">
        <f>"R$ 916,23"</f>
        <v>R$ 916,23</v>
      </c>
      <c r="K1346" t="str">
        <f>"R$ 916,24"</f>
        <v>R$ 916,24</v>
      </c>
    </row>
    <row r="1347" spans="1:11" x14ac:dyDescent="0.25">
      <c r="A1347" t="str">
        <f>"00024961 / 1"</f>
        <v>00024961 / 1</v>
      </c>
      <c r="B1347" t="str">
        <f>"Folha Mensal"</f>
        <v>Folha Mensal</v>
      </c>
      <c r="C1347" t="str">
        <f>"Maria Jose Amoedo da Silva"</f>
        <v>Maria Jose Amoedo da Silva</v>
      </c>
      <c r="D1347" t="str">
        <f>"PROFESSOR"</f>
        <v>PROFESSOR</v>
      </c>
      <c r="E1347" t="str">
        <f t="shared" si="131"/>
        <v>Efetivo-Inativo I- RJUSM</v>
      </c>
      <c r="F1347" t="str">
        <f>"R$ 1.593,46"</f>
        <v>R$ 1.593,46</v>
      </c>
      <c r="G1347" t="str">
        <f>"R$ 1.832,47"</f>
        <v>R$ 1.832,47</v>
      </c>
      <c r="H1347" t="str">
        <f t="shared" si="128"/>
        <v>R$ 0,00</v>
      </c>
      <c r="I1347" t="str">
        <f>"R$ 1.832,47"</f>
        <v>R$ 1.832,47</v>
      </c>
      <c r="J1347" t="str">
        <f>"R$ 0,00"</f>
        <v>R$ 0,00</v>
      </c>
      <c r="K1347" t="str">
        <f>"R$ 1.832,47"</f>
        <v>R$ 1.832,47</v>
      </c>
    </row>
    <row r="1348" spans="1:11" x14ac:dyDescent="0.25">
      <c r="A1348" t="str">
        <f>"00017442 / 1"</f>
        <v>00017442 / 1</v>
      </c>
      <c r="B1348" t="str">
        <f>"13° Salário Anual"</f>
        <v>13° Salário Anual</v>
      </c>
      <c r="C1348" t="str">
        <f>"Maria Jose Barbosa do Carmo"</f>
        <v>Maria Jose Barbosa do Carmo</v>
      </c>
      <c r="D1348" t="str">
        <f>"PROP IDADE"</f>
        <v>PROP IDADE</v>
      </c>
      <c r="E1348" t="str">
        <f t="shared" si="131"/>
        <v>Efetivo-Inativo I- RJUSM</v>
      </c>
      <c r="F1348" t="str">
        <f t="shared" ref="F1348:G1351" si="132">"R$ 1.100,00"</f>
        <v>R$ 1.100,00</v>
      </c>
      <c r="G1348" t="str">
        <f t="shared" si="132"/>
        <v>R$ 1.100,00</v>
      </c>
      <c r="H1348" t="str">
        <f t="shared" si="128"/>
        <v>R$ 0,00</v>
      </c>
      <c r="I1348" t="str">
        <f>"R$ 1.100,00"</f>
        <v>R$ 1.100,00</v>
      </c>
      <c r="J1348" t="str">
        <f>"R$ 550,00"</f>
        <v>R$ 550,00</v>
      </c>
      <c r="K1348" t="str">
        <f>"R$ 550,00"</f>
        <v>R$ 550,00</v>
      </c>
    </row>
    <row r="1349" spans="1:11" x14ac:dyDescent="0.25">
      <c r="A1349" t="str">
        <f>"00017442 / 1"</f>
        <v>00017442 / 1</v>
      </c>
      <c r="B1349" t="str">
        <f>"Folha Mensal"</f>
        <v>Folha Mensal</v>
      </c>
      <c r="C1349" t="str">
        <f>"Maria Jose Barbosa do Carmo"</f>
        <v>Maria Jose Barbosa do Carmo</v>
      </c>
      <c r="D1349" t="str">
        <f>"PROP IDADE"</f>
        <v>PROP IDADE</v>
      </c>
      <c r="E1349" t="str">
        <f t="shared" si="131"/>
        <v>Efetivo-Inativo I- RJUSM</v>
      </c>
      <c r="F1349" t="str">
        <f t="shared" si="132"/>
        <v>R$ 1.100,00</v>
      </c>
      <c r="G1349" t="str">
        <f t="shared" si="132"/>
        <v>R$ 1.100,00</v>
      </c>
      <c r="H1349" t="str">
        <f t="shared" si="128"/>
        <v>R$ 0,00</v>
      </c>
      <c r="I1349" t="str">
        <f>"R$ 1.100,00"</f>
        <v>R$ 1.100,00</v>
      </c>
      <c r="J1349" t="str">
        <f>"R$ 0,00"</f>
        <v>R$ 0,00</v>
      </c>
      <c r="K1349" t="str">
        <f>"R$ 1.100,00"</f>
        <v>R$ 1.100,00</v>
      </c>
    </row>
    <row r="1350" spans="1:11" x14ac:dyDescent="0.25">
      <c r="A1350" t="str">
        <f>"00027367 / 1"</f>
        <v>00027367 / 1</v>
      </c>
      <c r="B1350" t="str">
        <f>"13° Salário Anual"</f>
        <v>13° Salário Anual</v>
      </c>
      <c r="C1350" t="str">
        <f>"Maria Jose Borges de Sousa"</f>
        <v>Maria Jose Borges de Sousa</v>
      </c>
      <c r="D1350" t="str">
        <f>"PROP IDADE"</f>
        <v>PROP IDADE</v>
      </c>
      <c r="E1350" t="str">
        <f t="shared" si="131"/>
        <v>Efetivo-Inativo I- RJUSM</v>
      </c>
      <c r="F1350" t="str">
        <f t="shared" si="132"/>
        <v>R$ 1.100,00</v>
      </c>
      <c r="G1350" t="str">
        <f t="shared" si="132"/>
        <v>R$ 1.100,00</v>
      </c>
      <c r="H1350" t="str">
        <f t="shared" si="128"/>
        <v>R$ 0,00</v>
      </c>
      <c r="I1350" t="str">
        <f>"R$ 1.100,00"</f>
        <v>R$ 1.100,00</v>
      </c>
      <c r="J1350" t="str">
        <f>"R$ 550,00"</f>
        <v>R$ 550,00</v>
      </c>
      <c r="K1350" t="str">
        <f>"R$ 550,00"</f>
        <v>R$ 550,00</v>
      </c>
    </row>
    <row r="1351" spans="1:11" x14ac:dyDescent="0.25">
      <c r="A1351" t="str">
        <f>"00027367 / 1"</f>
        <v>00027367 / 1</v>
      </c>
      <c r="B1351" t="str">
        <f>"Folha Mensal"</f>
        <v>Folha Mensal</v>
      </c>
      <c r="C1351" t="str">
        <f>"Maria Jose Borges de Sousa"</f>
        <v>Maria Jose Borges de Sousa</v>
      </c>
      <c r="D1351" t="str">
        <f>"PROP IDADE"</f>
        <v>PROP IDADE</v>
      </c>
      <c r="E1351" t="str">
        <f t="shared" si="131"/>
        <v>Efetivo-Inativo I- RJUSM</v>
      </c>
      <c r="F1351" t="str">
        <f t="shared" si="132"/>
        <v>R$ 1.100,00</v>
      </c>
      <c r="G1351" t="str">
        <f t="shared" si="132"/>
        <v>R$ 1.100,00</v>
      </c>
      <c r="H1351" t="str">
        <f t="shared" si="128"/>
        <v>R$ 0,00</v>
      </c>
      <c r="I1351" t="str">
        <f>"R$ 1.100,00"</f>
        <v>R$ 1.100,00</v>
      </c>
      <c r="J1351" t="str">
        <f>"R$ 0,00"</f>
        <v>R$ 0,00</v>
      </c>
      <c r="K1351" t="str">
        <f>"R$ 1.100,00"</f>
        <v>R$ 1.100,00</v>
      </c>
    </row>
    <row r="1352" spans="1:11" x14ac:dyDescent="0.25">
      <c r="A1352" t="str">
        <f>"00007641 / 1"</f>
        <v>00007641 / 1</v>
      </c>
      <c r="B1352" t="str">
        <f>"13° Salário Anual"</f>
        <v>13° Salário Anual</v>
      </c>
      <c r="C1352" t="str">
        <f>"Maria Jose da Silva Braga"</f>
        <v>Maria Jose da Silva Braga</v>
      </c>
      <c r="D1352" t="str">
        <f>"PROFESSOR NIVEL I"</f>
        <v>PROFESSOR NIVEL I</v>
      </c>
      <c r="E1352" t="str">
        <f t="shared" si="131"/>
        <v>Efetivo-Inativo I- RJUSM</v>
      </c>
      <c r="F1352" t="str">
        <f>"R$ 1.673,14"</f>
        <v>R$ 1.673,14</v>
      </c>
      <c r="G1352" t="str">
        <f>"R$ 2.091,42"</f>
        <v>R$ 2.091,42</v>
      </c>
      <c r="H1352" t="str">
        <f t="shared" si="128"/>
        <v>R$ 0,00</v>
      </c>
      <c r="I1352" t="str">
        <f>"R$ 2.091,42"</f>
        <v>R$ 2.091,42</v>
      </c>
      <c r="J1352" t="str">
        <f>"R$ 1.045,71"</f>
        <v>R$ 1.045,71</v>
      </c>
      <c r="K1352" t="str">
        <f>"R$ 1.045,71"</f>
        <v>R$ 1.045,71</v>
      </c>
    </row>
    <row r="1353" spans="1:11" x14ac:dyDescent="0.25">
      <c r="A1353" t="str">
        <f>"00007641 / 1"</f>
        <v>00007641 / 1</v>
      </c>
      <c r="B1353" t="str">
        <f>"Folha Mensal"</f>
        <v>Folha Mensal</v>
      </c>
      <c r="C1353" t="str">
        <f>"Maria Jose da Silva Braga"</f>
        <v>Maria Jose da Silva Braga</v>
      </c>
      <c r="D1353" t="str">
        <f>"PROFESSOR NIVEL I"</f>
        <v>PROFESSOR NIVEL I</v>
      </c>
      <c r="E1353" t="str">
        <f t="shared" si="131"/>
        <v>Efetivo-Inativo I- RJUSM</v>
      </c>
      <c r="F1353" t="str">
        <f>"R$ 1.673,14"</f>
        <v>R$ 1.673,14</v>
      </c>
      <c r="G1353" t="str">
        <f>"R$ 2.091,42"</f>
        <v>R$ 2.091,42</v>
      </c>
      <c r="H1353" t="str">
        <f t="shared" si="128"/>
        <v>R$ 0,00</v>
      </c>
      <c r="I1353" t="str">
        <f>"R$ 2.091,42"</f>
        <v>R$ 2.091,42</v>
      </c>
      <c r="J1353" t="str">
        <f>"R$ 508,59"</f>
        <v>R$ 508,59</v>
      </c>
      <c r="K1353" t="str">
        <f>"R$ 1.582,83"</f>
        <v>R$ 1.582,83</v>
      </c>
    </row>
    <row r="1354" spans="1:11" x14ac:dyDescent="0.25">
      <c r="A1354" t="str">
        <f>"00265870 / 1"</f>
        <v>00265870 / 1</v>
      </c>
      <c r="B1354" t="str">
        <f>"13° Salário Anual"</f>
        <v>13° Salário Anual</v>
      </c>
      <c r="C1354" t="str">
        <f>"Maria Jose da Silva Saraiva"</f>
        <v>Maria Jose da Silva Saraiva</v>
      </c>
      <c r="D1354" t="str">
        <f>"PROP COMPULSORIA"</f>
        <v>PROP COMPULSORIA</v>
      </c>
      <c r="E1354" t="str">
        <f t="shared" si="131"/>
        <v>Efetivo-Inativo I- RJUSM</v>
      </c>
      <c r="F1354" t="str">
        <f t="shared" ref="F1354:G1357" si="133">"R$ 1.100,00"</f>
        <v>R$ 1.100,00</v>
      </c>
      <c r="G1354" t="str">
        <f t="shared" si="133"/>
        <v>R$ 1.100,00</v>
      </c>
      <c r="H1354" t="str">
        <f t="shared" si="128"/>
        <v>R$ 0,00</v>
      </c>
      <c r="I1354" t="str">
        <f>"R$ 1.100,00"</f>
        <v>R$ 1.100,00</v>
      </c>
      <c r="J1354" t="str">
        <f>"R$ 550,00"</f>
        <v>R$ 550,00</v>
      </c>
      <c r="K1354" t="str">
        <f>"R$ 550,00"</f>
        <v>R$ 550,00</v>
      </c>
    </row>
    <row r="1355" spans="1:11" x14ac:dyDescent="0.25">
      <c r="A1355" t="str">
        <f>"00265870 / 1"</f>
        <v>00265870 / 1</v>
      </c>
      <c r="B1355" t="str">
        <f>"Folha Mensal"</f>
        <v>Folha Mensal</v>
      </c>
      <c r="C1355" t="str">
        <f>"Maria Jose da Silva Saraiva"</f>
        <v>Maria Jose da Silva Saraiva</v>
      </c>
      <c r="D1355" t="str">
        <f>"PROP COMPULSORIA"</f>
        <v>PROP COMPULSORIA</v>
      </c>
      <c r="E1355" t="str">
        <f t="shared" si="131"/>
        <v>Efetivo-Inativo I- RJUSM</v>
      </c>
      <c r="F1355" t="str">
        <f t="shared" si="133"/>
        <v>R$ 1.100,00</v>
      </c>
      <c r="G1355" t="str">
        <f t="shared" si="133"/>
        <v>R$ 1.100,00</v>
      </c>
      <c r="H1355" t="str">
        <f t="shared" si="128"/>
        <v>R$ 0,00</v>
      </c>
      <c r="I1355" t="str">
        <f>"R$ 1.100,00"</f>
        <v>R$ 1.100,00</v>
      </c>
      <c r="J1355" t="str">
        <f>"R$ 0,00"</f>
        <v>R$ 0,00</v>
      </c>
      <c r="K1355" t="str">
        <f>"R$ 1.100,00"</f>
        <v>R$ 1.100,00</v>
      </c>
    </row>
    <row r="1356" spans="1:11" x14ac:dyDescent="0.25">
      <c r="A1356" t="str">
        <f>"00406023 / 1"</f>
        <v>00406023 / 1</v>
      </c>
      <c r="B1356" t="str">
        <f>"13° Salário Anual"</f>
        <v>13° Salário Anual</v>
      </c>
      <c r="C1356" t="str">
        <f>"Maria Jose dos Santos Souza"</f>
        <v>Maria Jose dos Santos Souza</v>
      </c>
      <c r="D1356" t="str">
        <f>"PENSIONISTA"</f>
        <v>PENSIONISTA</v>
      </c>
      <c r="E1356" t="str">
        <f>"Pensionista"</f>
        <v>Pensionista</v>
      </c>
      <c r="F1356" t="str">
        <f t="shared" si="133"/>
        <v>R$ 1.100,00</v>
      </c>
      <c r="G1356" t="str">
        <f t="shared" si="133"/>
        <v>R$ 1.100,00</v>
      </c>
      <c r="H1356" t="str">
        <f t="shared" si="128"/>
        <v>R$ 0,00</v>
      </c>
      <c r="I1356" t="str">
        <f>"R$ 1.100,00"</f>
        <v>R$ 1.100,00</v>
      </c>
      <c r="J1356" t="str">
        <f>"R$ 550,00"</f>
        <v>R$ 550,00</v>
      </c>
      <c r="K1356" t="str">
        <f>"R$ 550,00"</f>
        <v>R$ 550,00</v>
      </c>
    </row>
    <row r="1357" spans="1:11" x14ac:dyDescent="0.25">
      <c r="A1357" t="str">
        <f>"00406023 / 1"</f>
        <v>00406023 / 1</v>
      </c>
      <c r="B1357" t="str">
        <f>"Folha Mensal"</f>
        <v>Folha Mensal</v>
      </c>
      <c r="C1357" t="str">
        <f>"Maria Jose dos Santos Souza"</f>
        <v>Maria Jose dos Santos Souza</v>
      </c>
      <c r="D1357" t="str">
        <f>"PENSIONISTA"</f>
        <v>PENSIONISTA</v>
      </c>
      <c r="E1357" t="str">
        <f>"Pensionista"</f>
        <v>Pensionista</v>
      </c>
      <c r="F1357" t="str">
        <f t="shared" si="133"/>
        <v>R$ 1.100,00</v>
      </c>
      <c r="G1357" t="str">
        <f t="shared" si="133"/>
        <v>R$ 1.100,00</v>
      </c>
      <c r="H1357" t="str">
        <f t="shared" si="128"/>
        <v>R$ 0,00</v>
      </c>
      <c r="I1357" t="str">
        <f>"R$ 1.100,00"</f>
        <v>R$ 1.100,00</v>
      </c>
      <c r="J1357" t="str">
        <f>"R$ 384,09"</f>
        <v>R$ 384,09</v>
      </c>
      <c r="K1357" t="str">
        <f>"R$ 715,91"</f>
        <v>R$ 715,91</v>
      </c>
    </row>
    <row r="1358" spans="1:11" x14ac:dyDescent="0.25">
      <c r="A1358" t="str">
        <f>"00058300 / 1"</f>
        <v>00058300 / 1</v>
      </c>
      <c r="B1358" t="str">
        <f>"13° Salário Anual"</f>
        <v>13° Salário Anual</v>
      </c>
      <c r="C1358" t="str">
        <f>"Maria Jose Gondin Alves"</f>
        <v>Maria Jose Gondin Alves</v>
      </c>
      <c r="D1358" t="str">
        <f>"PROP TEMP CONTRIBUICAO"</f>
        <v>PROP TEMP CONTRIBUICAO</v>
      </c>
      <c r="E1358" t="str">
        <f t="shared" ref="E1358:E1365" si="134">"Efetivo-Inativo I- RJUSM"</f>
        <v>Efetivo-Inativo I- RJUSM</v>
      </c>
      <c r="F1358" t="str">
        <f>"R$ 2.786,84"</f>
        <v>R$ 2.786,84</v>
      </c>
      <c r="G1358" t="str">
        <f>"R$ 2.786,84"</f>
        <v>R$ 2.786,84</v>
      </c>
      <c r="H1358" t="str">
        <f t="shared" si="128"/>
        <v>R$ 0,00</v>
      </c>
      <c r="I1358" t="str">
        <f>"R$ 2.786,84"</f>
        <v>R$ 2.786,84</v>
      </c>
      <c r="J1358" t="str">
        <f>"R$ 1.393,42"</f>
        <v>R$ 1.393,42</v>
      </c>
      <c r="K1358" t="str">
        <f>"R$ 1.393,42"</f>
        <v>R$ 1.393,42</v>
      </c>
    </row>
    <row r="1359" spans="1:11" x14ac:dyDescent="0.25">
      <c r="A1359" t="str">
        <f>"00058300 / 1"</f>
        <v>00058300 / 1</v>
      </c>
      <c r="B1359" t="str">
        <f>"Folha Mensal"</f>
        <v>Folha Mensal</v>
      </c>
      <c r="C1359" t="str">
        <f>"Maria Jose Gondin Alves"</f>
        <v>Maria Jose Gondin Alves</v>
      </c>
      <c r="D1359" t="str">
        <f>"PROP TEMP CONTRIBUICAO"</f>
        <v>PROP TEMP CONTRIBUICAO</v>
      </c>
      <c r="E1359" t="str">
        <f t="shared" si="134"/>
        <v>Efetivo-Inativo I- RJUSM</v>
      </c>
      <c r="F1359" t="str">
        <f>"R$ 2.786,84"</f>
        <v>R$ 2.786,84</v>
      </c>
      <c r="G1359" t="str">
        <f>"R$ 2.786,84"</f>
        <v>R$ 2.786,84</v>
      </c>
      <c r="H1359" t="str">
        <f t="shared" si="128"/>
        <v>R$ 0,00</v>
      </c>
      <c r="I1359" t="str">
        <f>"R$ 2.786,84"</f>
        <v>R$ 2.786,84</v>
      </c>
      <c r="J1359" t="str">
        <f>"R$ 0,00"</f>
        <v>R$ 0,00</v>
      </c>
      <c r="K1359" t="str">
        <f>"R$ 2.786,84"</f>
        <v>R$ 2.786,84</v>
      </c>
    </row>
    <row r="1360" spans="1:11" x14ac:dyDescent="0.25">
      <c r="A1360" t="str">
        <f>"00001244 / 2"</f>
        <v>00001244 / 2</v>
      </c>
      <c r="B1360" t="str">
        <f>"13° Salário Anual"</f>
        <v>13° Salário Anual</v>
      </c>
      <c r="C1360" t="str">
        <f>"Maria Jose Gouvea Melo"</f>
        <v>Maria Jose Gouvea Melo</v>
      </c>
      <c r="D1360" t="str">
        <f t="shared" ref="D1360:D1365" si="135">"PROFESSOR"</f>
        <v>PROFESSOR</v>
      </c>
      <c r="E1360" t="str">
        <f t="shared" si="134"/>
        <v>Efetivo-Inativo I- RJUSM</v>
      </c>
      <c r="F1360" t="str">
        <f>"R$ 2.071,51"</f>
        <v>R$ 2.071,51</v>
      </c>
      <c r="G1360" t="str">
        <f>"R$ 2.692,96"</f>
        <v>R$ 2.692,96</v>
      </c>
      <c r="H1360" t="str">
        <f t="shared" si="128"/>
        <v>R$ 0,00</v>
      </c>
      <c r="I1360" t="str">
        <f>"R$ 2.692,96"</f>
        <v>R$ 2.692,96</v>
      </c>
      <c r="J1360" t="str">
        <f>"R$ 1.391,43"</f>
        <v>R$ 1.391,43</v>
      </c>
      <c r="K1360" t="str">
        <f>"R$ 1.301,53"</f>
        <v>R$ 1.301,53</v>
      </c>
    </row>
    <row r="1361" spans="1:11" x14ac:dyDescent="0.25">
      <c r="A1361" t="str">
        <f>"00001244 / 2"</f>
        <v>00001244 / 2</v>
      </c>
      <c r="B1361" t="str">
        <f>"Folha Mensal"</f>
        <v>Folha Mensal</v>
      </c>
      <c r="C1361" t="str">
        <f>"Maria Jose Gouvea Melo"</f>
        <v>Maria Jose Gouvea Melo</v>
      </c>
      <c r="D1361" t="str">
        <f t="shared" si="135"/>
        <v>PROFESSOR</v>
      </c>
      <c r="E1361" t="str">
        <f t="shared" si="134"/>
        <v>Efetivo-Inativo I- RJUSM</v>
      </c>
      <c r="F1361" t="str">
        <f>"R$ 2.071,51"</f>
        <v>R$ 2.071,51</v>
      </c>
      <c r="G1361" t="str">
        <f>"R$ 2.692,96"</f>
        <v>R$ 2.692,96</v>
      </c>
      <c r="H1361" t="str">
        <f t="shared" si="128"/>
        <v>R$ 0,00</v>
      </c>
      <c r="I1361" t="str">
        <f>"R$ 2.692,96"</f>
        <v>R$ 2.692,96</v>
      </c>
      <c r="J1361" t="str">
        <f>"R$ 769,05"</f>
        <v>R$ 769,05</v>
      </c>
      <c r="K1361" t="str">
        <f>"R$ 1.923,91"</f>
        <v>R$ 1.923,91</v>
      </c>
    </row>
    <row r="1362" spans="1:11" x14ac:dyDescent="0.25">
      <c r="A1362" t="str">
        <f>"00025313 / 1"</f>
        <v>00025313 / 1</v>
      </c>
      <c r="B1362" t="str">
        <f>"13° Salário Anual"</f>
        <v>13° Salário Anual</v>
      </c>
      <c r="C1362" t="str">
        <f>"Maria Jose Leite Barbosa"</f>
        <v>Maria Jose Leite Barbosa</v>
      </c>
      <c r="D1362" t="str">
        <f t="shared" si="135"/>
        <v>PROFESSOR</v>
      </c>
      <c r="E1362" t="str">
        <f t="shared" si="134"/>
        <v>Efetivo-Inativo I- RJUSM</v>
      </c>
      <c r="F1362" t="str">
        <f>"R$ 2.071,51"</f>
        <v>R$ 2.071,51</v>
      </c>
      <c r="G1362" t="str">
        <f>"R$ 2.692,96"</f>
        <v>R$ 2.692,96</v>
      </c>
      <c r="H1362" t="str">
        <f t="shared" si="128"/>
        <v>R$ 0,00</v>
      </c>
      <c r="I1362" t="str">
        <f>"R$ 2.692,96"</f>
        <v>R$ 2.692,96</v>
      </c>
      <c r="J1362" t="str">
        <f>"R$ 1.405,65"</f>
        <v>R$ 1.405,65</v>
      </c>
      <c r="K1362" t="str">
        <f>"R$ 1.287,31"</f>
        <v>R$ 1.287,31</v>
      </c>
    </row>
    <row r="1363" spans="1:11" x14ac:dyDescent="0.25">
      <c r="A1363" t="str">
        <f>"00025313 / 1"</f>
        <v>00025313 / 1</v>
      </c>
      <c r="B1363" t="str">
        <f>"Folha Mensal"</f>
        <v>Folha Mensal</v>
      </c>
      <c r="C1363" t="str">
        <f>"Maria Jose Leite Barbosa"</f>
        <v>Maria Jose Leite Barbosa</v>
      </c>
      <c r="D1363" t="str">
        <f t="shared" si="135"/>
        <v>PROFESSOR</v>
      </c>
      <c r="E1363" t="str">
        <f t="shared" si="134"/>
        <v>Efetivo-Inativo I- RJUSM</v>
      </c>
      <c r="F1363" t="str">
        <f>"R$ 2.071,51"</f>
        <v>R$ 2.071,51</v>
      </c>
      <c r="G1363" t="str">
        <f>"R$ 2.692,96"</f>
        <v>R$ 2.692,96</v>
      </c>
      <c r="H1363" t="str">
        <f t="shared" si="128"/>
        <v>R$ 0,00</v>
      </c>
      <c r="I1363" t="str">
        <f>"R$ 2.692,96"</f>
        <v>R$ 2.692,96</v>
      </c>
      <c r="J1363" t="str">
        <f>"R$ 59,17"</f>
        <v>R$ 59,17</v>
      </c>
      <c r="K1363" t="str">
        <f>"R$ 2.633,79"</f>
        <v>R$ 2.633,79</v>
      </c>
    </row>
    <row r="1364" spans="1:11" x14ac:dyDescent="0.25">
      <c r="A1364" t="str">
        <f>"00001635 / 1"</f>
        <v>00001635 / 1</v>
      </c>
      <c r="B1364" t="str">
        <f>"13° Salário Anual"</f>
        <v>13° Salário Anual</v>
      </c>
      <c r="C1364" t="str">
        <f>"Maria Jose Lima de Oliveira"</f>
        <v>Maria Jose Lima de Oliveira</v>
      </c>
      <c r="D1364" t="str">
        <f t="shared" si="135"/>
        <v>PROFESSOR</v>
      </c>
      <c r="E1364" t="str">
        <f t="shared" si="134"/>
        <v>Efetivo-Inativo I- RJUSM</v>
      </c>
      <c r="F1364" t="str">
        <f>"R$ 1.593,46"</f>
        <v>R$ 1.593,46</v>
      </c>
      <c r="G1364" t="str">
        <f>"R$ 1.912,15"</f>
        <v>R$ 1.912,15</v>
      </c>
      <c r="H1364" t="str">
        <f t="shared" si="128"/>
        <v>R$ 0,00</v>
      </c>
      <c r="I1364" t="str">
        <f>"R$ 1.912,15"</f>
        <v>R$ 1.912,15</v>
      </c>
      <c r="J1364" t="str">
        <f>"R$ 956,07"</f>
        <v>R$ 956,07</v>
      </c>
      <c r="K1364" t="str">
        <f>"R$ 956,08"</f>
        <v>R$ 956,08</v>
      </c>
    </row>
    <row r="1365" spans="1:11" x14ac:dyDescent="0.25">
      <c r="A1365" t="str">
        <f>"00001635 / 1"</f>
        <v>00001635 / 1</v>
      </c>
      <c r="B1365" t="str">
        <f>"Folha Mensal"</f>
        <v>Folha Mensal</v>
      </c>
      <c r="C1365" t="str">
        <f>"Maria Jose Lima de Oliveira"</f>
        <v>Maria Jose Lima de Oliveira</v>
      </c>
      <c r="D1365" t="str">
        <f t="shared" si="135"/>
        <v>PROFESSOR</v>
      </c>
      <c r="E1365" t="str">
        <f t="shared" si="134"/>
        <v>Efetivo-Inativo I- RJUSM</v>
      </c>
      <c r="F1365" t="str">
        <f>"R$ 1.593,46"</f>
        <v>R$ 1.593,46</v>
      </c>
      <c r="G1365" t="str">
        <f>"R$ 1.912,15"</f>
        <v>R$ 1.912,15</v>
      </c>
      <c r="H1365" t="str">
        <f t="shared" si="128"/>
        <v>R$ 0,00</v>
      </c>
      <c r="I1365" t="str">
        <f>"R$ 1.912,15"</f>
        <v>R$ 1.912,15</v>
      </c>
      <c r="J1365" t="str">
        <f>"R$ 0,00"</f>
        <v>R$ 0,00</v>
      </c>
      <c r="K1365" t="str">
        <f>"R$ 1.912,15"</f>
        <v>R$ 1.912,15</v>
      </c>
    </row>
    <row r="1366" spans="1:11" x14ac:dyDescent="0.25">
      <c r="A1366" t="str">
        <f>"00265896 / 1"</f>
        <v>00265896 / 1</v>
      </c>
      <c r="B1366" t="str">
        <f>"13° Salário Anual"</f>
        <v>13° Salário Anual</v>
      </c>
      <c r="C1366" t="str">
        <f>"Maria Jose Monteiro Pinto"</f>
        <v>Maria Jose Monteiro Pinto</v>
      </c>
      <c r="D1366" t="str">
        <f>"AG COMUNIT DE SAUDE"</f>
        <v>AG COMUNIT DE SAUDE</v>
      </c>
      <c r="E1366" t="str">
        <f>"Efetivo-Inativos II-RJUSM"</f>
        <v>Efetivo-Inativos II-RJUSM</v>
      </c>
      <c r="F1366" t="str">
        <f>"R$ 1.100,00"</f>
        <v>R$ 1.100,00</v>
      </c>
      <c r="G1366" t="str">
        <f>"R$ 1.100,00"</f>
        <v>R$ 1.100,00</v>
      </c>
      <c r="H1366" t="str">
        <f t="shared" si="128"/>
        <v>R$ 0,00</v>
      </c>
      <c r="I1366" t="str">
        <f>"R$ 1.100,00"</f>
        <v>R$ 1.100,00</v>
      </c>
      <c r="J1366" t="str">
        <f>"R$ 550,00"</f>
        <v>R$ 550,00</v>
      </c>
      <c r="K1366" t="str">
        <f>"R$ 550,00"</f>
        <v>R$ 550,00</v>
      </c>
    </row>
    <row r="1367" spans="1:11" x14ac:dyDescent="0.25">
      <c r="A1367" t="str">
        <f>"00265896 / 1"</f>
        <v>00265896 / 1</v>
      </c>
      <c r="B1367" t="str">
        <f>"Folha Mensal"</f>
        <v>Folha Mensal</v>
      </c>
      <c r="C1367" t="str">
        <f>"Maria Jose Monteiro Pinto"</f>
        <v>Maria Jose Monteiro Pinto</v>
      </c>
      <c r="D1367" t="str">
        <f>"AG COMUNIT DE SAUDE"</f>
        <v>AG COMUNIT DE SAUDE</v>
      </c>
      <c r="E1367" t="str">
        <f>"Efetivo-Inativos II-RJUSM"</f>
        <v>Efetivo-Inativos II-RJUSM</v>
      </c>
      <c r="F1367" t="str">
        <f>"R$ 1.100,00"</f>
        <v>R$ 1.100,00</v>
      </c>
      <c r="G1367" t="str">
        <f>"R$ 1.100,00"</f>
        <v>R$ 1.100,00</v>
      </c>
      <c r="H1367" t="str">
        <f t="shared" si="128"/>
        <v>R$ 0,00</v>
      </c>
      <c r="I1367" t="str">
        <f>"R$ 1.100,00"</f>
        <v>R$ 1.100,00</v>
      </c>
      <c r="J1367" t="str">
        <f>"R$ 0,00"</f>
        <v>R$ 0,00</v>
      </c>
      <c r="K1367" t="str">
        <f>"R$ 1.100,00"</f>
        <v>R$ 1.100,00</v>
      </c>
    </row>
    <row r="1368" spans="1:11" x14ac:dyDescent="0.25">
      <c r="A1368" t="str">
        <f>"00027022 / 1"</f>
        <v>00027022 / 1</v>
      </c>
      <c r="B1368" t="str">
        <f>"13° Salário Anual"</f>
        <v>13° Salário Anual</v>
      </c>
      <c r="C1368" t="str">
        <f>"Maria Jose Pimentel Gomes"</f>
        <v>Maria Jose Pimentel Gomes</v>
      </c>
      <c r="D1368" t="str">
        <f>"PROFESSOR"</f>
        <v>PROFESSOR</v>
      </c>
      <c r="E1368" t="str">
        <f>"Efetivo-Inativo I- RJUSM"</f>
        <v>Efetivo-Inativo I- RJUSM</v>
      </c>
      <c r="F1368" t="str">
        <f>"R$ 0,00"</f>
        <v>R$ 0,00</v>
      </c>
      <c r="G1368" t="str">
        <f>"R$ 2.589,38"</f>
        <v>R$ 2.589,38</v>
      </c>
      <c r="H1368" t="str">
        <f t="shared" si="128"/>
        <v>R$ 0,00</v>
      </c>
      <c r="I1368" t="str">
        <f>"R$ 2.589,38"</f>
        <v>R$ 2.589,38</v>
      </c>
      <c r="J1368" t="str">
        <f>"R$ 1.294,69"</f>
        <v>R$ 1.294,69</v>
      </c>
      <c r="K1368" t="str">
        <f>"R$ 1.294,69"</f>
        <v>R$ 1.294,69</v>
      </c>
    </row>
    <row r="1369" spans="1:11" x14ac:dyDescent="0.25">
      <c r="A1369" t="str">
        <f>"00013714 / 2"</f>
        <v>00013714 / 2</v>
      </c>
      <c r="B1369" t="str">
        <f>"13° Salário Anual"</f>
        <v>13° Salário Anual</v>
      </c>
      <c r="C1369" t="str">
        <f>"Maria Jose Ribeiro da Silva"</f>
        <v>Maria Jose Ribeiro da Silva</v>
      </c>
      <c r="D1369" t="str">
        <f>"PROP INVALIDEZ"</f>
        <v>PROP INVALIDEZ</v>
      </c>
      <c r="E1369" t="str">
        <f>"Efetivo-Inativo I- RJUSM"</f>
        <v>Efetivo-Inativo I- RJUSM</v>
      </c>
      <c r="F1369" t="str">
        <f>"R$ 1.968,65"</f>
        <v>R$ 1.968,65</v>
      </c>
      <c r="G1369" t="str">
        <f>"R$ 1.968,65"</f>
        <v>R$ 1.968,65</v>
      </c>
      <c r="H1369" t="str">
        <f t="shared" si="128"/>
        <v>R$ 0,00</v>
      </c>
      <c r="I1369" t="str">
        <f>"R$ 1.968,65"</f>
        <v>R$ 1.968,65</v>
      </c>
      <c r="J1369" t="str">
        <f>"R$ 989,16"</f>
        <v>R$ 989,16</v>
      </c>
      <c r="K1369" t="str">
        <f>"R$ 979,49"</f>
        <v>R$ 979,49</v>
      </c>
    </row>
    <row r="1370" spans="1:11" x14ac:dyDescent="0.25">
      <c r="A1370" t="str">
        <f>"00013714 / 2"</f>
        <v>00013714 / 2</v>
      </c>
      <c r="B1370" t="str">
        <f>"Folha Mensal"</f>
        <v>Folha Mensal</v>
      </c>
      <c r="C1370" t="str">
        <f>"Maria Jose Ribeiro da Silva"</f>
        <v>Maria Jose Ribeiro da Silva</v>
      </c>
      <c r="D1370" t="str">
        <f>"PROP INVALIDEZ"</f>
        <v>PROP INVALIDEZ</v>
      </c>
      <c r="E1370" t="str">
        <f>"Efetivo-Inativo I- RJUSM"</f>
        <v>Efetivo-Inativo I- RJUSM</v>
      </c>
      <c r="F1370" t="str">
        <f>"R$ 1.968,65"</f>
        <v>R$ 1.968,65</v>
      </c>
      <c r="G1370" t="str">
        <f>"R$ 1.968,65"</f>
        <v>R$ 1.968,65</v>
      </c>
      <c r="H1370" t="str">
        <f t="shared" si="128"/>
        <v>R$ 0,00</v>
      </c>
      <c r="I1370" t="str">
        <f>"R$ 1.968,65"</f>
        <v>R$ 1.968,65</v>
      </c>
      <c r="J1370" t="str">
        <f>"R$ 4,84"</f>
        <v>R$ 4,84</v>
      </c>
      <c r="K1370" t="str">
        <f>"R$ 1.963,81"</f>
        <v>R$ 1.963,81</v>
      </c>
    </row>
    <row r="1371" spans="1:11" x14ac:dyDescent="0.25">
      <c r="A1371" t="str">
        <f>"00028673 / 2"</f>
        <v>00028673 / 2</v>
      </c>
      <c r="B1371" t="str">
        <f>"13° Salário Anual"</f>
        <v>13° Salário Anual</v>
      </c>
      <c r="C1371" t="str">
        <f>"Maria Jose Tavares de Assuncao Coelho"</f>
        <v>Maria Jose Tavares de Assuncao Coelho</v>
      </c>
      <c r="D1371" t="str">
        <f>"PROFESSOR NIVEL II"</f>
        <v>PROFESSOR NIVEL II</v>
      </c>
      <c r="E1371" t="str">
        <f t="shared" ref="E1371:E1376" si="136">"Efetivo-Inativos II-RJUSM"</f>
        <v>Efetivo-Inativos II-RJUSM</v>
      </c>
      <c r="F1371" t="str">
        <f>"R$ 4.302,34"</f>
        <v>R$ 4.302,34</v>
      </c>
      <c r="G1371" t="str">
        <f>"R$ 5.593,04"</f>
        <v>R$ 5.593,04</v>
      </c>
      <c r="H1371" t="str">
        <f t="shared" si="128"/>
        <v>R$ 0,00</v>
      </c>
      <c r="I1371" t="str">
        <f>"R$ 5.593,04"</f>
        <v>R$ 5.593,04</v>
      </c>
      <c r="J1371" t="str">
        <f>"R$ 3.465,24"</f>
        <v>R$ 3.465,24</v>
      </c>
      <c r="K1371" t="str">
        <f>"R$ 2.127,80"</f>
        <v>R$ 2.127,80</v>
      </c>
    </row>
    <row r="1372" spans="1:11" x14ac:dyDescent="0.25">
      <c r="A1372" t="str">
        <f>"00028673 / 2"</f>
        <v>00028673 / 2</v>
      </c>
      <c r="B1372" t="str">
        <f>"Folha Mensal"</f>
        <v>Folha Mensal</v>
      </c>
      <c r="C1372" t="str">
        <f>"Maria Jose Tavares de Assuncao Coelho"</f>
        <v>Maria Jose Tavares de Assuncao Coelho</v>
      </c>
      <c r="D1372" t="str">
        <f>"PROFESSOR NIVEL II"</f>
        <v>PROFESSOR NIVEL II</v>
      </c>
      <c r="E1372" t="str">
        <f t="shared" si="136"/>
        <v>Efetivo-Inativos II-RJUSM</v>
      </c>
      <c r="F1372" t="str">
        <f>"R$ 4.302,34"</f>
        <v>R$ 4.302,34</v>
      </c>
      <c r="G1372" t="str">
        <f>"R$ 5.593,04"</f>
        <v>R$ 5.593,04</v>
      </c>
      <c r="H1372" t="str">
        <f t="shared" si="128"/>
        <v>R$ 0,00</v>
      </c>
      <c r="I1372" t="str">
        <f>"R$ 5.593,04"</f>
        <v>R$ 5.593,04</v>
      </c>
      <c r="J1372" t="str">
        <f>"R$ 2.232,19"</f>
        <v>R$ 2.232,19</v>
      </c>
      <c r="K1372" t="str">
        <f>"R$ 3.360,85"</f>
        <v>R$ 3.360,85</v>
      </c>
    </row>
    <row r="1373" spans="1:11" x14ac:dyDescent="0.25">
      <c r="A1373" t="str">
        <f>"00003441 / 2"</f>
        <v>00003441 / 2</v>
      </c>
      <c r="B1373" t="str">
        <f>"13° Salário Anual"</f>
        <v>13° Salário Anual</v>
      </c>
      <c r="C1373" t="str">
        <f>"Maria Jose Valente da Silva"</f>
        <v>Maria Jose Valente da Silva</v>
      </c>
      <c r="D1373" t="str">
        <f>"INT TEMP CONTRIBUICAO"</f>
        <v>INT TEMP CONTRIBUICAO</v>
      </c>
      <c r="E1373" t="str">
        <f t="shared" si="136"/>
        <v>Efetivo-Inativos II-RJUSM</v>
      </c>
      <c r="F1373" t="str">
        <f>"R$ 1.100,00"</f>
        <v>R$ 1.100,00</v>
      </c>
      <c r="G1373" t="str">
        <f>"R$ 1.430,00"</f>
        <v>R$ 1.430,00</v>
      </c>
      <c r="H1373" t="str">
        <f t="shared" si="128"/>
        <v>R$ 0,00</v>
      </c>
      <c r="I1373" t="str">
        <f>"R$ 1.430,00"</f>
        <v>R$ 1.430,00</v>
      </c>
      <c r="J1373" t="str">
        <f>"R$ 715,00"</f>
        <v>R$ 715,00</v>
      </c>
      <c r="K1373" t="str">
        <f>"R$ 715,00"</f>
        <v>R$ 715,00</v>
      </c>
    </row>
    <row r="1374" spans="1:11" x14ac:dyDescent="0.25">
      <c r="A1374" t="str">
        <f>"00003441 / 2"</f>
        <v>00003441 / 2</v>
      </c>
      <c r="B1374" t="str">
        <f>"Folha Mensal"</f>
        <v>Folha Mensal</v>
      </c>
      <c r="C1374" t="str">
        <f>"Maria Jose Valente da Silva"</f>
        <v>Maria Jose Valente da Silva</v>
      </c>
      <c r="D1374" t="str">
        <f>"INT TEMP CONTRIBUICAO"</f>
        <v>INT TEMP CONTRIBUICAO</v>
      </c>
      <c r="E1374" t="str">
        <f t="shared" si="136"/>
        <v>Efetivo-Inativos II-RJUSM</v>
      </c>
      <c r="F1374" t="str">
        <f>"R$ 1.100,00"</f>
        <v>R$ 1.100,00</v>
      </c>
      <c r="G1374" t="str">
        <f>"R$ 1.430,00"</f>
        <v>R$ 1.430,00</v>
      </c>
      <c r="H1374" t="str">
        <f t="shared" si="128"/>
        <v>R$ 0,00</v>
      </c>
      <c r="I1374" t="str">
        <f>"R$ 1.430,00"</f>
        <v>R$ 1.430,00</v>
      </c>
      <c r="J1374" t="str">
        <f>"R$ 345,00"</f>
        <v>R$ 345,00</v>
      </c>
      <c r="K1374" t="str">
        <f>"R$ 1.085,00"</f>
        <v>R$ 1.085,00</v>
      </c>
    </row>
    <row r="1375" spans="1:11" x14ac:dyDescent="0.25">
      <c r="A1375" t="str">
        <f>"00013765 / 1"</f>
        <v>00013765 / 1</v>
      </c>
      <c r="B1375" t="str">
        <f>"13° Salário Anual"</f>
        <v>13° Salário Anual</v>
      </c>
      <c r="C1375" t="str">
        <f>"Maria Jucimar dos Santos"</f>
        <v>Maria Jucimar dos Santos</v>
      </c>
      <c r="D1375" t="str">
        <f>"AUXILIAR MUNICIPAL"</f>
        <v>AUXILIAR MUNICIPAL</v>
      </c>
      <c r="E1375" t="str">
        <f t="shared" si="136"/>
        <v>Efetivo-Inativos II-RJUSM</v>
      </c>
      <c r="F1375" t="str">
        <f>"R$ 1.100,00"</f>
        <v>R$ 1.100,00</v>
      </c>
      <c r="G1375" t="str">
        <f>"R$ 1.430,00"</f>
        <v>R$ 1.430,00</v>
      </c>
      <c r="H1375" t="str">
        <f t="shared" si="128"/>
        <v>R$ 0,00</v>
      </c>
      <c r="I1375" t="str">
        <f>"R$ 1.430,00"</f>
        <v>R$ 1.430,00</v>
      </c>
      <c r="J1375" t="str">
        <f>"R$ 715,00"</f>
        <v>R$ 715,00</v>
      </c>
      <c r="K1375" t="str">
        <f>"R$ 715,00"</f>
        <v>R$ 715,00</v>
      </c>
    </row>
    <row r="1376" spans="1:11" x14ac:dyDescent="0.25">
      <c r="A1376" t="str">
        <f>"00013765 / 1"</f>
        <v>00013765 / 1</v>
      </c>
      <c r="B1376" t="str">
        <f>"Folha Mensal"</f>
        <v>Folha Mensal</v>
      </c>
      <c r="C1376" t="str">
        <f>"Maria Jucimar dos Santos"</f>
        <v>Maria Jucimar dos Santos</v>
      </c>
      <c r="D1376" t="str">
        <f>"AUXILIAR MUNICIPAL"</f>
        <v>AUXILIAR MUNICIPAL</v>
      </c>
      <c r="E1376" t="str">
        <f t="shared" si="136"/>
        <v>Efetivo-Inativos II-RJUSM</v>
      </c>
      <c r="F1376" t="str">
        <f>"R$ 1.100,00"</f>
        <v>R$ 1.100,00</v>
      </c>
      <c r="G1376" t="str">
        <f>"R$ 1.430,00"</f>
        <v>R$ 1.430,00</v>
      </c>
      <c r="H1376" t="str">
        <f t="shared" ref="H1376:H1439" si="137">"R$ 0,00"</f>
        <v>R$ 0,00</v>
      </c>
      <c r="I1376" t="str">
        <f>"R$ 1.430,00"</f>
        <v>R$ 1.430,00</v>
      </c>
      <c r="J1376" t="str">
        <f>"R$ 373,38"</f>
        <v>R$ 373,38</v>
      </c>
      <c r="K1376" t="str">
        <f>"R$ 1.056,62"</f>
        <v>R$ 1.056,62</v>
      </c>
    </row>
    <row r="1377" spans="1:11" x14ac:dyDescent="0.25">
      <c r="A1377" t="str">
        <f>"00013307 / 1"</f>
        <v>00013307 / 1</v>
      </c>
      <c r="B1377" t="str">
        <f>"13° Salário Anual"</f>
        <v>13° Salário Anual</v>
      </c>
      <c r="C1377" t="str">
        <f>"Maria Justina Soares Soares"</f>
        <v>Maria Justina Soares Soares</v>
      </c>
      <c r="D1377" t="str">
        <f>"PROFESSOR"</f>
        <v>PROFESSOR</v>
      </c>
      <c r="E1377" t="str">
        <f t="shared" ref="E1377:E1382" si="138">"Efetivo-Inativo I- RJUSM"</f>
        <v>Efetivo-Inativo I- RJUSM</v>
      </c>
      <c r="F1377" t="str">
        <f>"R$ 1.593,46"</f>
        <v>R$ 1.593,46</v>
      </c>
      <c r="G1377" t="str">
        <f>"R$ 1.991,82"</f>
        <v>R$ 1.991,82</v>
      </c>
      <c r="H1377" t="str">
        <f t="shared" si="137"/>
        <v>R$ 0,00</v>
      </c>
      <c r="I1377" t="str">
        <f>"R$ 1.991,82"</f>
        <v>R$ 1.991,82</v>
      </c>
      <c r="J1377" t="str">
        <f>"R$ 995,91"</f>
        <v>R$ 995,91</v>
      </c>
      <c r="K1377" t="str">
        <f>"R$ 995,91"</f>
        <v>R$ 995,91</v>
      </c>
    </row>
    <row r="1378" spans="1:11" x14ac:dyDescent="0.25">
      <c r="A1378" t="str">
        <f>"00013307 / 1"</f>
        <v>00013307 / 1</v>
      </c>
      <c r="B1378" t="str">
        <f>"Folha Mensal"</f>
        <v>Folha Mensal</v>
      </c>
      <c r="C1378" t="str">
        <f>"Maria Justina Soares Soares"</f>
        <v>Maria Justina Soares Soares</v>
      </c>
      <c r="D1378" t="str">
        <f>"PROFESSOR"</f>
        <v>PROFESSOR</v>
      </c>
      <c r="E1378" t="str">
        <f t="shared" si="138"/>
        <v>Efetivo-Inativo I- RJUSM</v>
      </c>
      <c r="F1378" t="str">
        <f>"R$ 1.593,46"</f>
        <v>R$ 1.593,46</v>
      </c>
      <c r="G1378" t="str">
        <f>"R$ 1.991,82"</f>
        <v>R$ 1.991,82</v>
      </c>
      <c r="H1378" t="str">
        <f t="shared" si="137"/>
        <v>R$ 0,00</v>
      </c>
      <c r="I1378" t="str">
        <f>"R$ 1.991,82"</f>
        <v>R$ 1.991,82</v>
      </c>
      <c r="J1378" t="str">
        <f>"R$ 594,18"</f>
        <v>R$ 594,18</v>
      </c>
      <c r="K1378" t="str">
        <f>"R$ 1.397,64"</f>
        <v>R$ 1.397,64</v>
      </c>
    </row>
    <row r="1379" spans="1:11" x14ac:dyDescent="0.25">
      <c r="A1379" t="str">
        <f>"00024953 / 1"</f>
        <v>00024953 / 1</v>
      </c>
      <c r="B1379" t="str">
        <f>"13° Salário Anual"</f>
        <v>13° Salário Anual</v>
      </c>
      <c r="C1379" t="str">
        <f>"Maria Laete Alves Maranhao"</f>
        <v>Maria Laete Alves Maranhao</v>
      </c>
      <c r="D1379" t="str">
        <f>"PROFESSOR NIVEL II"</f>
        <v>PROFESSOR NIVEL II</v>
      </c>
      <c r="E1379" t="str">
        <f t="shared" si="138"/>
        <v>Efetivo-Inativo I- RJUSM</v>
      </c>
      <c r="F1379" t="str">
        <f>"R$ 5.417,81"</f>
        <v>R$ 5.417,81</v>
      </c>
      <c r="G1379" t="str">
        <f>"R$ 6.772,26"</f>
        <v>R$ 6.772,26</v>
      </c>
      <c r="H1379" t="str">
        <f t="shared" si="137"/>
        <v>R$ 0,00</v>
      </c>
      <c r="I1379" t="str">
        <f>"R$ 6.772,26"</f>
        <v>R$ 6.772,26</v>
      </c>
      <c r="J1379" t="str">
        <f>"R$ 4.447,26"</f>
        <v>R$ 4.447,26</v>
      </c>
      <c r="K1379" t="str">
        <f>"R$ 2.325,00"</f>
        <v>R$ 2.325,00</v>
      </c>
    </row>
    <row r="1380" spans="1:11" x14ac:dyDescent="0.25">
      <c r="A1380" t="str">
        <f>"00024953 / 1"</f>
        <v>00024953 / 1</v>
      </c>
      <c r="B1380" t="str">
        <f>"Folha Mensal"</f>
        <v>Folha Mensal</v>
      </c>
      <c r="C1380" t="str">
        <f>"Maria Laete Alves Maranhao"</f>
        <v>Maria Laete Alves Maranhao</v>
      </c>
      <c r="D1380" t="str">
        <f>"PROFESSOR NIVEL II"</f>
        <v>PROFESSOR NIVEL II</v>
      </c>
      <c r="E1380" t="str">
        <f t="shared" si="138"/>
        <v>Efetivo-Inativo I- RJUSM</v>
      </c>
      <c r="F1380" t="str">
        <f>"R$ 5.417,81"</f>
        <v>R$ 5.417,81</v>
      </c>
      <c r="G1380" t="str">
        <f>"R$ 6.772,26"</f>
        <v>R$ 6.772,26</v>
      </c>
      <c r="H1380" t="str">
        <f t="shared" si="137"/>
        <v>R$ 0,00</v>
      </c>
      <c r="I1380" t="str">
        <f>"R$ 6.772,26"</f>
        <v>R$ 6.772,26</v>
      </c>
      <c r="J1380" t="str">
        <f>"R$ 2.775,67"</f>
        <v>R$ 2.775,67</v>
      </c>
      <c r="K1380" t="str">
        <f>"R$ 3.996,59"</f>
        <v>R$ 3.996,59</v>
      </c>
    </row>
    <row r="1381" spans="1:11" x14ac:dyDescent="0.25">
      <c r="A1381" t="str">
        <f>"00011096 / 1"</f>
        <v>00011096 / 1</v>
      </c>
      <c r="B1381" t="str">
        <f>"13° Salário Anual"</f>
        <v>13° Salário Anual</v>
      </c>
      <c r="C1381" t="str">
        <f>"Maria Leunira Oliveira da Silva"</f>
        <v>Maria Leunira Oliveira da Silva</v>
      </c>
      <c r="D1381" t="str">
        <f>"PROFESSOR"</f>
        <v>PROFESSOR</v>
      </c>
      <c r="E1381" t="str">
        <f t="shared" si="138"/>
        <v>Efetivo-Inativo I- RJUSM</v>
      </c>
      <c r="F1381" t="str">
        <f>"R$ 2.071,51"</f>
        <v>R$ 2.071,51</v>
      </c>
      <c r="G1381" t="str">
        <f>"R$ 2.589,38"</f>
        <v>R$ 2.589,38</v>
      </c>
      <c r="H1381" t="str">
        <f t="shared" si="137"/>
        <v>R$ 0,00</v>
      </c>
      <c r="I1381" t="str">
        <f>"R$ 2.589,38"</f>
        <v>R$ 2.589,38</v>
      </c>
      <c r="J1381" t="str">
        <f>"R$ 1.346,09"</f>
        <v>R$ 1.346,09</v>
      </c>
      <c r="K1381" t="str">
        <f>"R$ 1.243,29"</f>
        <v>R$ 1.243,29</v>
      </c>
    </row>
    <row r="1382" spans="1:11" x14ac:dyDescent="0.25">
      <c r="A1382" t="str">
        <f>"00011096 / 1"</f>
        <v>00011096 / 1</v>
      </c>
      <c r="B1382" t="str">
        <f>"Folha Mensal"</f>
        <v>Folha Mensal</v>
      </c>
      <c r="C1382" t="str">
        <f>"Maria Leunira Oliveira da Silva"</f>
        <v>Maria Leunira Oliveira da Silva</v>
      </c>
      <c r="D1382" t="str">
        <f>"PROFESSOR"</f>
        <v>PROFESSOR</v>
      </c>
      <c r="E1382" t="str">
        <f t="shared" si="138"/>
        <v>Efetivo-Inativo I- RJUSM</v>
      </c>
      <c r="F1382" t="str">
        <f>"R$ 2.071,51"</f>
        <v>R$ 2.071,51</v>
      </c>
      <c r="G1382" t="str">
        <f>"R$ 2.589,38"</f>
        <v>R$ 2.589,38</v>
      </c>
      <c r="H1382" t="str">
        <f t="shared" si="137"/>
        <v>R$ 0,00</v>
      </c>
      <c r="I1382" t="str">
        <f>"R$ 2.589,38"</f>
        <v>R$ 2.589,38</v>
      </c>
      <c r="J1382" t="str">
        <f>"R$ 937,63"</f>
        <v>R$ 937,63</v>
      </c>
      <c r="K1382" t="str">
        <f>"R$ 1.651,75"</f>
        <v>R$ 1.651,75</v>
      </c>
    </row>
    <row r="1383" spans="1:11" x14ac:dyDescent="0.25">
      <c r="A1383" t="str">
        <f>"00001007 / 2"</f>
        <v>00001007 / 2</v>
      </c>
      <c r="B1383" t="str">
        <f>"13° Salário Anual"</f>
        <v>13° Salário Anual</v>
      </c>
      <c r="C1383" t="str">
        <f>"Maria Lidia Rocha Bahia"</f>
        <v>Maria Lidia Rocha Bahia</v>
      </c>
      <c r="D1383" t="str">
        <f>"PROFESSOR NIVEL I"</f>
        <v>PROFESSOR NIVEL I</v>
      </c>
      <c r="E1383" t="str">
        <f>"Efetivo-Inativos II-RJUSM"</f>
        <v>Efetivo-Inativos II-RJUSM</v>
      </c>
      <c r="F1383" t="str">
        <f>"R$ 2.390,21"</f>
        <v>R$ 2.390,21</v>
      </c>
      <c r="G1383" t="str">
        <f>"R$ 3.107,27"</f>
        <v>R$ 3.107,27</v>
      </c>
      <c r="H1383" t="str">
        <f t="shared" si="137"/>
        <v>R$ 0,00</v>
      </c>
      <c r="I1383" t="str">
        <f>"R$ 3.107,27"</f>
        <v>R$ 3.107,27</v>
      </c>
      <c r="J1383" t="str">
        <f>"R$ 1.664,92"</f>
        <v>R$ 1.664,92</v>
      </c>
      <c r="K1383" t="str">
        <f>"R$ 1.442,35"</f>
        <v>R$ 1.442,35</v>
      </c>
    </row>
    <row r="1384" spans="1:11" x14ac:dyDescent="0.25">
      <c r="A1384" t="str">
        <f>"00001007 / 2"</f>
        <v>00001007 / 2</v>
      </c>
      <c r="B1384" t="str">
        <f>"Folha Mensal"</f>
        <v>Folha Mensal</v>
      </c>
      <c r="C1384" t="str">
        <f>"Maria Lidia Rocha Bahia"</f>
        <v>Maria Lidia Rocha Bahia</v>
      </c>
      <c r="D1384" t="str">
        <f>"PROFESSOR NIVEL I"</f>
        <v>PROFESSOR NIVEL I</v>
      </c>
      <c r="E1384" t="str">
        <f>"Efetivo-Inativos II-RJUSM"</f>
        <v>Efetivo-Inativos II-RJUSM</v>
      </c>
      <c r="F1384" t="str">
        <f>"R$ 2.390,21"</f>
        <v>R$ 2.390,21</v>
      </c>
      <c r="G1384" t="str">
        <f>"R$ 3.107,27"</f>
        <v>R$ 3.107,27</v>
      </c>
      <c r="H1384" t="str">
        <f t="shared" si="137"/>
        <v>R$ 0,00</v>
      </c>
      <c r="I1384" t="str">
        <f>"R$ 3.107,27"</f>
        <v>R$ 3.107,27</v>
      </c>
      <c r="J1384" t="str">
        <f>"R$ 111,29"</f>
        <v>R$ 111,29</v>
      </c>
      <c r="K1384" t="str">
        <f>"R$ 2.995,98"</f>
        <v>R$ 2.995,98</v>
      </c>
    </row>
    <row r="1385" spans="1:11" x14ac:dyDescent="0.25">
      <c r="A1385" t="str">
        <f>"00001767 / 2"</f>
        <v>00001767 / 2</v>
      </c>
      <c r="B1385" t="str">
        <f>"13° Salário Anual"</f>
        <v>13° Salário Anual</v>
      </c>
      <c r="C1385" t="str">
        <f>"Maria Lindalva Cabral de Souza"</f>
        <v>Maria Lindalva Cabral de Souza</v>
      </c>
      <c r="D1385" t="str">
        <f>"PROFESSOR"</f>
        <v>PROFESSOR</v>
      </c>
      <c r="E1385" t="str">
        <f>"Efetivo-Inativo I- RJUSM"</f>
        <v>Efetivo-Inativo I- RJUSM</v>
      </c>
      <c r="F1385" t="str">
        <f>"R$ 1.593,46"</f>
        <v>R$ 1.593,46</v>
      </c>
      <c r="G1385" t="str">
        <f>"R$ 1.991,82"</f>
        <v>R$ 1.991,82</v>
      </c>
      <c r="H1385" t="str">
        <f t="shared" si="137"/>
        <v>R$ 0,00</v>
      </c>
      <c r="I1385" t="str">
        <f>"R$ 1.991,82"</f>
        <v>R$ 1.991,82</v>
      </c>
      <c r="J1385" t="str">
        <f>"R$ 995,91"</f>
        <v>R$ 995,91</v>
      </c>
      <c r="K1385" t="str">
        <f>"R$ 995,91"</f>
        <v>R$ 995,91</v>
      </c>
    </row>
    <row r="1386" spans="1:11" x14ac:dyDescent="0.25">
      <c r="A1386" t="str">
        <f>"00001767 / 2"</f>
        <v>00001767 / 2</v>
      </c>
      <c r="B1386" t="str">
        <f>"Folha Mensal"</f>
        <v>Folha Mensal</v>
      </c>
      <c r="C1386" t="str">
        <f>"Maria Lindalva Cabral de Souza"</f>
        <v>Maria Lindalva Cabral de Souza</v>
      </c>
      <c r="D1386" t="str">
        <f>"PROFESSOR"</f>
        <v>PROFESSOR</v>
      </c>
      <c r="E1386" t="str">
        <f>"Efetivo-Inativo I- RJUSM"</f>
        <v>Efetivo-Inativo I- RJUSM</v>
      </c>
      <c r="F1386" t="str">
        <f>"R$ 1.593,46"</f>
        <v>R$ 1.593,46</v>
      </c>
      <c r="G1386" t="str">
        <f>"R$ 1.991,82"</f>
        <v>R$ 1.991,82</v>
      </c>
      <c r="H1386" t="str">
        <f t="shared" si="137"/>
        <v>R$ 0,00</v>
      </c>
      <c r="I1386" t="str">
        <f>"R$ 1.991,82"</f>
        <v>R$ 1.991,82</v>
      </c>
      <c r="J1386" t="str">
        <f>"R$ 0,00"</f>
        <v>R$ 0,00</v>
      </c>
      <c r="K1386" t="str">
        <f>"R$ 1.991,82"</f>
        <v>R$ 1.991,82</v>
      </c>
    </row>
    <row r="1387" spans="1:11" x14ac:dyDescent="0.25">
      <c r="A1387" t="str">
        <f>"00004510 / 1"</f>
        <v>00004510 / 1</v>
      </c>
      <c r="B1387" t="str">
        <f>"13° Salário Anual"</f>
        <v>13° Salário Anual</v>
      </c>
      <c r="C1387" t="str">
        <f>"Maria Lucia Alves Ferreira"</f>
        <v>Maria Lucia Alves Ferreira</v>
      </c>
      <c r="D1387" t="str">
        <f>"PROFESSOR"</f>
        <v>PROFESSOR</v>
      </c>
      <c r="E1387" t="str">
        <f>"Efetivo-Inativo I- RJUSM"</f>
        <v>Efetivo-Inativo I- RJUSM</v>
      </c>
      <c r="F1387" t="str">
        <f>"R$ 1.593,46"</f>
        <v>R$ 1.593,46</v>
      </c>
      <c r="G1387" t="str">
        <f>"R$ 1.991,82"</f>
        <v>R$ 1.991,82</v>
      </c>
      <c r="H1387" t="str">
        <f t="shared" si="137"/>
        <v>R$ 0,00</v>
      </c>
      <c r="I1387" t="str">
        <f>"R$ 1.991,82"</f>
        <v>R$ 1.991,82</v>
      </c>
      <c r="J1387" t="str">
        <f>"R$ 995,91"</f>
        <v>R$ 995,91</v>
      </c>
      <c r="K1387" t="str">
        <f>"R$ 995,91"</f>
        <v>R$ 995,91</v>
      </c>
    </row>
    <row r="1388" spans="1:11" x14ac:dyDescent="0.25">
      <c r="A1388" t="str">
        <f>"00004510 / 1"</f>
        <v>00004510 / 1</v>
      </c>
      <c r="B1388" t="str">
        <f>"Folha Mensal"</f>
        <v>Folha Mensal</v>
      </c>
      <c r="C1388" t="str">
        <f>"Maria Lucia Alves Ferreira"</f>
        <v>Maria Lucia Alves Ferreira</v>
      </c>
      <c r="D1388" t="str">
        <f>"PROFESSOR"</f>
        <v>PROFESSOR</v>
      </c>
      <c r="E1388" t="str">
        <f>"Efetivo-Inativo I- RJUSM"</f>
        <v>Efetivo-Inativo I- RJUSM</v>
      </c>
      <c r="F1388" t="str">
        <f>"R$ 1.593,46"</f>
        <v>R$ 1.593,46</v>
      </c>
      <c r="G1388" t="str">
        <f>"R$ 1.991,82"</f>
        <v>R$ 1.991,82</v>
      </c>
      <c r="H1388" t="str">
        <f t="shared" si="137"/>
        <v>R$ 0,00</v>
      </c>
      <c r="I1388" t="str">
        <f>"R$ 1.991,82"</f>
        <v>R$ 1.991,82</v>
      </c>
      <c r="J1388" t="str">
        <f>"R$ 681,03"</f>
        <v>R$ 681,03</v>
      </c>
      <c r="K1388" t="str">
        <f>"R$ 1.310,79"</f>
        <v>R$ 1.310,79</v>
      </c>
    </row>
    <row r="1389" spans="1:11" x14ac:dyDescent="0.25">
      <c r="A1389" t="str">
        <f>"00025658 / 1"</f>
        <v>00025658 / 1</v>
      </c>
      <c r="B1389" t="str">
        <f>"13° Salário Anual"</f>
        <v>13° Salário Anual</v>
      </c>
      <c r="C1389" t="str">
        <f>"Maria Lucia da Silva"</f>
        <v>Maria Lucia da Silva</v>
      </c>
      <c r="D1389" t="str">
        <f>"INT TEMP CONTRIBUICAO"</f>
        <v>INT TEMP CONTRIBUICAO</v>
      </c>
      <c r="E1389" t="str">
        <f>"Efetivo-Inativos II-RJUSM"</f>
        <v>Efetivo-Inativos II-RJUSM</v>
      </c>
      <c r="F1389" t="str">
        <f>"R$ 1.100,00"</f>
        <v>R$ 1.100,00</v>
      </c>
      <c r="G1389" t="str">
        <f>"R$ 1.430,00"</f>
        <v>R$ 1.430,00</v>
      </c>
      <c r="H1389" t="str">
        <f t="shared" si="137"/>
        <v>R$ 0,00</v>
      </c>
      <c r="I1389" t="str">
        <f>"R$ 1.430,00"</f>
        <v>R$ 1.430,00</v>
      </c>
      <c r="J1389" t="str">
        <f>"R$ 715,00"</f>
        <v>R$ 715,00</v>
      </c>
      <c r="K1389" t="str">
        <f>"R$ 715,00"</f>
        <v>R$ 715,00</v>
      </c>
    </row>
    <row r="1390" spans="1:11" x14ac:dyDescent="0.25">
      <c r="A1390" t="str">
        <f>"00025658 / 1"</f>
        <v>00025658 / 1</v>
      </c>
      <c r="B1390" t="str">
        <f>"Folha Mensal"</f>
        <v>Folha Mensal</v>
      </c>
      <c r="C1390" t="str">
        <f>"Maria Lucia da Silva"</f>
        <v>Maria Lucia da Silva</v>
      </c>
      <c r="D1390" t="str">
        <f>"INT TEMP CONTRIBUICAO"</f>
        <v>INT TEMP CONTRIBUICAO</v>
      </c>
      <c r="E1390" t="str">
        <f>"Efetivo-Inativos II-RJUSM"</f>
        <v>Efetivo-Inativos II-RJUSM</v>
      </c>
      <c r="F1390" t="str">
        <f>"R$ 1.100,00"</f>
        <v>R$ 1.100,00</v>
      </c>
      <c r="G1390" t="str">
        <f>"R$ 1.430,00"</f>
        <v>R$ 1.430,00</v>
      </c>
      <c r="H1390" t="str">
        <f t="shared" si="137"/>
        <v>R$ 0,00</v>
      </c>
      <c r="I1390" t="str">
        <f>"R$ 1.430,00"</f>
        <v>R$ 1.430,00</v>
      </c>
      <c r="J1390" t="str">
        <f>"R$ 0,00"</f>
        <v>R$ 0,00</v>
      </c>
      <c r="K1390" t="str">
        <f>"R$ 1.430,00"</f>
        <v>R$ 1.430,00</v>
      </c>
    </row>
    <row r="1391" spans="1:11" x14ac:dyDescent="0.25">
      <c r="A1391" t="str">
        <f>"00000868 / 1"</f>
        <v>00000868 / 1</v>
      </c>
      <c r="B1391" t="str">
        <f>"13° Salário Anual"</f>
        <v>13° Salário Anual</v>
      </c>
      <c r="C1391" t="str">
        <f>"Maria Lucia de Lima"</f>
        <v>Maria Lucia de Lima</v>
      </c>
      <c r="D1391" t="str">
        <f>"PROFESSOR"</f>
        <v>PROFESSOR</v>
      </c>
      <c r="E1391" t="str">
        <f t="shared" ref="E1391:E1398" si="139">"Efetivo-Inativo I- RJUSM"</f>
        <v>Efetivo-Inativo I- RJUSM</v>
      </c>
      <c r="F1391" t="str">
        <f>"R$ 1.593,46"</f>
        <v>R$ 1.593,46</v>
      </c>
      <c r="G1391" t="str">
        <f>"R$ 1.991,82"</f>
        <v>R$ 1.991,82</v>
      </c>
      <c r="H1391" t="str">
        <f t="shared" si="137"/>
        <v>R$ 0,00</v>
      </c>
      <c r="I1391" t="str">
        <f>"R$ 1.991,82"</f>
        <v>R$ 1.991,82</v>
      </c>
      <c r="J1391" t="str">
        <f>"R$ 995,91"</f>
        <v>R$ 995,91</v>
      </c>
      <c r="K1391" t="str">
        <f>"R$ 995,91"</f>
        <v>R$ 995,91</v>
      </c>
    </row>
    <row r="1392" spans="1:11" x14ac:dyDescent="0.25">
      <c r="A1392" t="str">
        <f>"00000868 / 1"</f>
        <v>00000868 / 1</v>
      </c>
      <c r="B1392" t="str">
        <f>"Folha Mensal"</f>
        <v>Folha Mensal</v>
      </c>
      <c r="C1392" t="str">
        <f>"Maria Lucia de Lima"</f>
        <v>Maria Lucia de Lima</v>
      </c>
      <c r="D1392" t="str">
        <f>"PROFESSOR"</f>
        <v>PROFESSOR</v>
      </c>
      <c r="E1392" t="str">
        <f t="shared" si="139"/>
        <v>Efetivo-Inativo I- RJUSM</v>
      </c>
      <c r="F1392" t="str">
        <f>"R$ 1.593,46"</f>
        <v>R$ 1.593,46</v>
      </c>
      <c r="G1392" t="str">
        <f>"R$ 1.991,82"</f>
        <v>R$ 1.991,82</v>
      </c>
      <c r="H1392" t="str">
        <f t="shared" si="137"/>
        <v>R$ 0,00</v>
      </c>
      <c r="I1392" t="str">
        <f>"R$ 1.991,82"</f>
        <v>R$ 1.991,82</v>
      </c>
      <c r="J1392" t="str">
        <f>"R$ 345,30"</f>
        <v>R$ 345,30</v>
      </c>
      <c r="K1392" t="str">
        <f>"R$ 1.646,52"</f>
        <v>R$ 1.646,52</v>
      </c>
    </row>
    <row r="1393" spans="1:11" x14ac:dyDescent="0.25">
      <c r="A1393" t="str">
        <f>"00023663 / 1"</f>
        <v>00023663 / 1</v>
      </c>
      <c r="B1393" t="str">
        <f>"13° Salário Anual"</f>
        <v>13° Salário Anual</v>
      </c>
      <c r="C1393" t="str">
        <f>"Maria Lucia Falcao da Rocha"</f>
        <v>Maria Lucia Falcao da Rocha</v>
      </c>
      <c r="D1393" t="str">
        <f>"PROFESSOR"</f>
        <v>PROFESSOR</v>
      </c>
      <c r="E1393" t="str">
        <f t="shared" si="139"/>
        <v>Efetivo-Inativo I- RJUSM</v>
      </c>
      <c r="F1393" t="str">
        <f>"R$ 1.593,46"</f>
        <v>R$ 1.593,46</v>
      </c>
      <c r="G1393" t="str">
        <f>"R$ 1.912,15"</f>
        <v>R$ 1.912,15</v>
      </c>
      <c r="H1393" t="str">
        <f t="shared" si="137"/>
        <v>R$ 0,00</v>
      </c>
      <c r="I1393" t="str">
        <f>"R$ 1.912,15"</f>
        <v>R$ 1.912,15</v>
      </c>
      <c r="J1393" t="str">
        <f>"R$ 956,68"</f>
        <v>R$ 956,68</v>
      </c>
      <c r="K1393" t="str">
        <f>"R$ 955,47"</f>
        <v>R$ 955,47</v>
      </c>
    </row>
    <row r="1394" spans="1:11" x14ac:dyDescent="0.25">
      <c r="A1394" t="str">
        <f>"00023663 / 1"</f>
        <v>00023663 / 1</v>
      </c>
      <c r="B1394" t="str">
        <f>"Folha Mensal"</f>
        <v>Folha Mensal</v>
      </c>
      <c r="C1394" t="str">
        <f>"Maria Lucia Falcao da Rocha"</f>
        <v>Maria Lucia Falcao da Rocha</v>
      </c>
      <c r="D1394" t="str">
        <f>"PROFESSOR"</f>
        <v>PROFESSOR</v>
      </c>
      <c r="E1394" t="str">
        <f t="shared" si="139"/>
        <v>Efetivo-Inativo I- RJUSM</v>
      </c>
      <c r="F1394" t="str">
        <f>"R$ 1.593,46"</f>
        <v>R$ 1.593,46</v>
      </c>
      <c r="G1394" t="str">
        <f>"R$ 1.912,15"</f>
        <v>R$ 1.912,15</v>
      </c>
      <c r="H1394" t="str">
        <f t="shared" si="137"/>
        <v>R$ 0,00</v>
      </c>
      <c r="I1394" t="str">
        <f>"R$ 1.912,15"</f>
        <v>R$ 1.912,15</v>
      </c>
      <c r="J1394" t="str">
        <f>"R$ 669,47"</f>
        <v>R$ 669,47</v>
      </c>
      <c r="K1394" t="str">
        <f>"R$ 1.242,68"</f>
        <v>R$ 1.242,68</v>
      </c>
    </row>
    <row r="1395" spans="1:11" x14ac:dyDescent="0.25">
      <c r="A1395" t="str">
        <f>"00000175 / 1"</f>
        <v>00000175 / 1</v>
      </c>
      <c r="B1395" t="str">
        <f>"13° Salário Anual"</f>
        <v>13° Salário Anual</v>
      </c>
      <c r="C1395" t="str">
        <f>"Maria Lucia Lino de Oliveira"</f>
        <v>Maria Lucia Lino de Oliveira</v>
      </c>
      <c r="D1395" t="str">
        <f>"INT TEMP CONTRIBUICAO"</f>
        <v>INT TEMP CONTRIBUICAO</v>
      </c>
      <c r="E1395" t="str">
        <f t="shared" si="139"/>
        <v>Efetivo-Inativo I- RJUSM</v>
      </c>
      <c r="F1395" t="str">
        <f>"R$ 1.100,00"</f>
        <v>R$ 1.100,00</v>
      </c>
      <c r="G1395" t="str">
        <f>"R$ 1.430,00"</f>
        <v>R$ 1.430,00</v>
      </c>
      <c r="H1395" t="str">
        <f t="shared" si="137"/>
        <v>R$ 0,00</v>
      </c>
      <c r="I1395" t="str">
        <f>"R$ 1.430,00"</f>
        <v>R$ 1.430,00</v>
      </c>
      <c r="J1395" t="str">
        <f>"R$ 715,00"</f>
        <v>R$ 715,00</v>
      </c>
      <c r="K1395" t="str">
        <f>"R$ 715,00"</f>
        <v>R$ 715,00</v>
      </c>
    </row>
    <row r="1396" spans="1:11" x14ac:dyDescent="0.25">
      <c r="A1396" t="str">
        <f>"00000175 / 1"</f>
        <v>00000175 / 1</v>
      </c>
      <c r="B1396" t="str">
        <f>"Folha Mensal"</f>
        <v>Folha Mensal</v>
      </c>
      <c r="C1396" t="str">
        <f>"Maria Lucia Lino de Oliveira"</f>
        <v>Maria Lucia Lino de Oliveira</v>
      </c>
      <c r="D1396" t="str">
        <f>"INT TEMP CONTRIBUICAO"</f>
        <v>INT TEMP CONTRIBUICAO</v>
      </c>
      <c r="E1396" t="str">
        <f t="shared" si="139"/>
        <v>Efetivo-Inativo I- RJUSM</v>
      </c>
      <c r="F1396" t="str">
        <f>"R$ 1.100,00"</f>
        <v>R$ 1.100,00</v>
      </c>
      <c r="G1396" t="str">
        <f>"R$ 1.430,00"</f>
        <v>R$ 1.430,00</v>
      </c>
      <c r="H1396" t="str">
        <f t="shared" si="137"/>
        <v>R$ 0,00</v>
      </c>
      <c r="I1396" t="str">
        <f>"R$ 1.430,00"</f>
        <v>R$ 1.430,00</v>
      </c>
      <c r="J1396" t="str">
        <f>"R$ 477,72"</f>
        <v>R$ 477,72</v>
      </c>
      <c r="K1396" t="str">
        <f>"R$ 952,28"</f>
        <v>R$ 952,28</v>
      </c>
    </row>
    <row r="1397" spans="1:11" x14ac:dyDescent="0.25">
      <c r="A1397" t="str">
        <f>"00000167 / 1"</f>
        <v>00000167 / 1</v>
      </c>
      <c r="B1397" t="str">
        <f>"13° Salário Anual"</f>
        <v>13° Salário Anual</v>
      </c>
      <c r="C1397" t="str">
        <f>"Maria Lucia Maia de Aviz"</f>
        <v>Maria Lucia Maia de Aviz</v>
      </c>
      <c r="D1397" t="str">
        <f>"PROFESSOR"</f>
        <v>PROFESSOR</v>
      </c>
      <c r="E1397" t="str">
        <f t="shared" si="139"/>
        <v>Efetivo-Inativo I- RJUSM</v>
      </c>
      <c r="F1397" t="str">
        <f>"R$ 1.593,46"</f>
        <v>R$ 1.593,46</v>
      </c>
      <c r="G1397" t="str">
        <f>"R$ 1.991,82"</f>
        <v>R$ 1.991,82</v>
      </c>
      <c r="H1397" t="str">
        <f t="shared" si="137"/>
        <v>R$ 0,00</v>
      </c>
      <c r="I1397" t="str">
        <f>"R$ 1.991,82"</f>
        <v>R$ 1.991,82</v>
      </c>
      <c r="J1397" t="str">
        <f>"R$ 1.002,49"</f>
        <v>R$ 1.002,49</v>
      </c>
      <c r="K1397" t="str">
        <f>"R$ 989,33"</f>
        <v>R$ 989,33</v>
      </c>
    </row>
    <row r="1398" spans="1:11" x14ac:dyDescent="0.25">
      <c r="A1398" t="str">
        <f>"00000167 / 1"</f>
        <v>00000167 / 1</v>
      </c>
      <c r="B1398" t="str">
        <f>"Folha Mensal"</f>
        <v>Folha Mensal</v>
      </c>
      <c r="C1398" t="str">
        <f>"Maria Lucia Maia de Aviz"</f>
        <v>Maria Lucia Maia de Aviz</v>
      </c>
      <c r="D1398" t="str">
        <f>"PROFESSOR"</f>
        <v>PROFESSOR</v>
      </c>
      <c r="E1398" t="str">
        <f t="shared" si="139"/>
        <v>Efetivo-Inativo I- RJUSM</v>
      </c>
      <c r="F1398" t="str">
        <f>"R$ 1.593,46"</f>
        <v>R$ 1.593,46</v>
      </c>
      <c r="G1398" t="str">
        <f>"R$ 1.991,82"</f>
        <v>R$ 1.991,82</v>
      </c>
      <c r="H1398" t="str">
        <f t="shared" si="137"/>
        <v>R$ 0,00</v>
      </c>
      <c r="I1398" t="str">
        <f>"R$ 1.991,82"</f>
        <v>R$ 1.991,82</v>
      </c>
      <c r="J1398" t="str">
        <f>"R$ 471,68"</f>
        <v>R$ 471,68</v>
      </c>
      <c r="K1398" t="str">
        <f>"R$ 1.520,14"</f>
        <v>R$ 1.520,14</v>
      </c>
    </row>
    <row r="1399" spans="1:11" x14ac:dyDescent="0.25">
      <c r="A1399" t="str">
        <f>"00024260 / 2"</f>
        <v>00024260 / 2</v>
      </c>
      <c r="B1399" t="str">
        <f>"13° Salário Anual"</f>
        <v>13° Salário Anual</v>
      </c>
      <c r="C1399" t="str">
        <f>"Maria Lucia Pereira da Silva"</f>
        <v>Maria Lucia Pereira da Silva</v>
      </c>
      <c r="D1399" t="str">
        <f>"PROFESSOR NIVEL III"</f>
        <v>PROFESSOR NIVEL III</v>
      </c>
      <c r="E1399" t="str">
        <f t="shared" ref="E1399:E1404" si="140">"Efetivo-Inativos II-RJUSM"</f>
        <v>Efetivo-Inativos II-RJUSM</v>
      </c>
      <c r="F1399" t="str">
        <f>"R$ 6.055,17"</f>
        <v>R$ 6.055,17</v>
      </c>
      <c r="G1399" t="str">
        <f>"R$ 7.871,72"</f>
        <v>R$ 7.871,72</v>
      </c>
      <c r="H1399" t="str">
        <f t="shared" si="137"/>
        <v>R$ 0,00</v>
      </c>
      <c r="I1399" t="str">
        <f>"R$ 7.871,72"</f>
        <v>R$ 7.871,72</v>
      </c>
      <c r="J1399" t="str">
        <f>"R$ 5.306,66"</f>
        <v>R$ 5.306,66</v>
      </c>
      <c r="K1399" t="str">
        <f>"R$ 2.565,06"</f>
        <v>R$ 2.565,06</v>
      </c>
    </row>
    <row r="1400" spans="1:11" x14ac:dyDescent="0.25">
      <c r="A1400" t="str">
        <f>"00024260 / 2"</f>
        <v>00024260 / 2</v>
      </c>
      <c r="B1400" t="str">
        <f>"Folha Mensal"</f>
        <v>Folha Mensal</v>
      </c>
      <c r="C1400" t="str">
        <f>"Maria Lucia Pereira da Silva"</f>
        <v>Maria Lucia Pereira da Silva</v>
      </c>
      <c r="D1400" t="str">
        <f>"PROFESSOR NIVEL III"</f>
        <v>PROFESSOR NIVEL III</v>
      </c>
      <c r="E1400" t="str">
        <f t="shared" si="140"/>
        <v>Efetivo-Inativos II-RJUSM</v>
      </c>
      <c r="F1400" t="str">
        <f>"R$ 6.055,17"</f>
        <v>R$ 6.055,17</v>
      </c>
      <c r="G1400" t="str">
        <f>"R$ 7.871,72"</f>
        <v>R$ 7.871,72</v>
      </c>
      <c r="H1400" t="str">
        <f t="shared" si="137"/>
        <v>R$ 0,00</v>
      </c>
      <c r="I1400" t="str">
        <f>"R$ 7.871,72"</f>
        <v>R$ 7.871,72</v>
      </c>
      <c r="J1400" t="str">
        <f>"R$ 3.502,33"</f>
        <v>R$ 3.502,33</v>
      </c>
      <c r="K1400" t="str">
        <f>"R$ 4.369,39"</f>
        <v>R$ 4.369,39</v>
      </c>
    </row>
    <row r="1401" spans="1:11" x14ac:dyDescent="0.25">
      <c r="A1401" t="str">
        <f>"00002186 / 2"</f>
        <v>00002186 / 2</v>
      </c>
      <c r="B1401" t="str">
        <f>"13° Salário Anual"</f>
        <v>13° Salário Anual</v>
      </c>
      <c r="C1401" t="str">
        <f>"Maria Lucia Pinheiro da Costa"</f>
        <v>Maria Lucia Pinheiro da Costa</v>
      </c>
      <c r="D1401" t="str">
        <f>"INT TEMP CONTRIBUICAO"</f>
        <v>INT TEMP CONTRIBUICAO</v>
      </c>
      <c r="E1401" t="str">
        <f t="shared" si="140"/>
        <v>Efetivo-Inativos II-RJUSM</v>
      </c>
      <c r="F1401" t="str">
        <f>"R$ 1.100,00"</f>
        <v>R$ 1.100,00</v>
      </c>
      <c r="G1401" t="str">
        <f>"R$ 1.430,00"</f>
        <v>R$ 1.430,00</v>
      </c>
      <c r="H1401" t="str">
        <f t="shared" si="137"/>
        <v>R$ 0,00</v>
      </c>
      <c r="I1401" t="str">
        <f>"R$ 1.430,00"</f>
        <v>R$ 1.430,00</v>
      </c>
      <c r="J1401" t="str">
        <f>"R$ 715,00"</f>
        <v>R$ 715,00</v>
      </c>
      <c r="K1401" t="str">
        <f>"R$ 715,00"</f>
        <v>R$ 715,00</v>
      </c>
    </row>
    <row r="1402" spans="1:11" x14ac:dyDescent="0.25">
      <c r="A1402" t="str">
        <f>"00002186 / 2"</f>
        <v>00002186 / 2</v>
      </c>
      <c r="B1402" t="str">
        <f>"Folha Mensal"</f>
        <v>Folha Mensal</v>
      </c>
      <c r="C1402" t="str">
        <f>"Maria Lucia Pinheiro da Costa"</f>
        <v>Maria Lucia Pinheiro da Costa</v>
      </c>
      <c r="D1402" t="str">
        <f>"INT TEMP CONTRIBUICAO"</f>
        <v>INT TEMP CONTRIBUICAO</v>
      </c>
      <c r="E1402" t="str">
        <f t="shared" si="140"/>
        <v>Efetivo-Inativos II-RJUSM</v>
      </c>
      <c r="F1402" t="str">
        <f>"R$ 1.100,00"</f>
        <v>R$ 1.100,00</v>
      </c>
      <c r="G1402" t="str">
        <f>"R$ 1.430,00"</f>
        <v>R$ 1.430,00</v>
      </c>
      <c r="H1402" t="str">
        <f t="shared" si="137"/>
        <v>R$ 0,00</v>
      </c>
      <c r="I1402" t="str">
        <f>"R$ 1.430,00"</f>
        <v>R$ 1.430,00</v>
      </c>
      <c r="J1402" t="str">
        <f>"R$ 500,02"</f>
        <v>R$ 500,02</v>
      </c>
      <c r="K1402" t="str">
        <f>"R$ 929,98"</f>
        <v>R$ 929,98</v>
      </c>
    </row>
    <row r="1403" spans="1:11" x14ac:dyDescent="0.25">
      <c r="A1403" t="str">
        <f>"00027715 / 1"</f>
        <v>00027715 / 1</v>
      </c>
      <c r="B1403" t="str">
        <f>"13° Salário Anual"</f>
        <v>13° Salário Anual</v>
      </c>
      <c r="C1403" t="str">
        <f>"Maria Lucia Silva dos Santos"</f>
        <v>Maria Lucia Silva dos Santos</v>
      </c>
      <c r="D1403" t="str">
        <f>"PROFESSOR NIVEL II"</f>
        <v>PROFESSOR NIVEL II</v>
      </c>
      <c r="E1403" t="str">
        <f t="shared" si="140"/>
        <v>Efetivo-Inativos II-RJUSM</v>
      </c>
      <c r="F1403" t="str">
        <f>"R$ 5.736,47"</f>
        <v>R$ 5.736,47</v>
      </c>
      <c r="G1403" t="str">
        <f>"R$ 7.457,41"</f>
        <v>R$ 7.457,41</v>
      </c>
      <c r="H1403" t="str">
        <f t="shared" si="137"/>
        <v>R$ 0,00</v>
      </c>
      <c r="I1403" t="str">
        <f>"R$ 7.457,41"</f>
        <v>R$ 7.457,41</v>
      </c>
      <c r="J1403" t="str">
        <f>"R$ 5.047,79"</f>
        <v>R$ 5.047,79</v>
      </c>
      <c r="K1403" t="str">
        <f>"R$ 2.409,62"</f>
        <v>R$ 2.409,62</v>
      </c>
    </row>
    <row r="1404" spans="1:11" x14ac:dyDescent="0.25">
      <c r="A1404" t="str">
        <f>"00027715 / 1"</f>
        <v>00027715 / 1</v>
      </c>
      <c r="B1404" t="str">
        <f>"Folha Mensal"</f>
        <v>Folha Mensal</v>
      </c>
      <c r="C1404" t="str">
        <f>"Maria Lucia Silva dos Santos"</f>
        <v>Maria Lucia Silva dos Santos</v>
      </c>
      <c r="D1404" t="str">
        <f>"PROFESSOR NIVEL II"</f>
        <v>PROFESSOR NIVEL II</v>
      </c>
      <c r="E1404" t="str">
        <f t="shared" si="140"/>
        <v>Efetivo-Inativos II-RJUSM</v>
      </c>
      <c r="F1404" t="str">
        <f>"R$ 5.736,47"</f>
        <v>R$ 5.736,47</v>
      </c>
      <c r="G1404" t="str">
        <f>"R$ 7.457,41"</f>
        <v>R$ 7.457,41</v>
      </c>
      <c r="H1404" t="str">
        <f t="shared" si="137"/>
        <v>R$ 0,00</v>
      </c>
      <c r="I1404" t="str">
        <f>"R$ 7.457,41"</f>
        <v>R$ 7.457,41</v>
      </c>
      <c r="J1404" t="str">
        <f>"R$ 3.149,79"</f>
        <v>R$ 3.149,79</v>
      </c>
      <c r="K1404" t="str">
        <f>"R$ 4.307,62"</f>
        <v>R$ 4.307,62</v>
      </c>
    </row>
    <row r="1405" spans="1:11" x14ac:dyDescent="0.25">
      <c r="A1405" t="str">
        <f>"00025348 / 1"</f>
        <v>00025348 / 1</v>
      </c>
      <c r="B1405" t="str">
        <f>"13° Salário Anual"</f>
        <v>13° Salário Anual</v>
      </c>
      <c r="C1405" t="str">
        <f>"Maria Lucia Souza da Silva"</f>
        <v>Maria Lucia Souza da Silva</v>
      </c>
      <c r="D1405" t="str">
        <f t="shared" ref="D1405:D1412" si="141">"PROFESSOR"</f>
        <v>PROFESSOR</v>
      </c>
      <c r="E1405" t="str">
        <f t="shared" ref="E1405:E1412" si="142">"Efetivo-Inativo I- RJUSM"</f>
        <v>Efetivo-Inativo I- RJUSM</v>
      </c>
      <c r="F1405" t="str">
        <f>"R$ 2.071,51"</f>
        <v>R$ 2.071,51</v>
      </c>
      <c r="G1405" t="str">
        <f>"R$ 2.589,38"</f>
        <v>R$ 2.589,38</v>
      </c>
      <c r="H1405" t="str">
        <f t="shared" si="137"/>
        <v>R$ 0,00</v>
      </c>
      <c r="I1405" t="str">
        <f>"R$ 2.589,38"</f>
        <v>R$ 2.589,38</v>
      </c>
      <c r="J1405" t="str">
        <f>"R$ 1.331,87"</f>
        <v>R$ 1.331,87</v>
      </c>
      <c r="K1405" t="str">
        <f>"R$ 1.257,51"</f>
        <v>R$ 1.257,51</v>
      </c>
    </row>
    <row r="1406" spans="1:11" x14ac:dyDescent="0.25">
      <c r="A1406" t="str">
        <f>"00025348 / 1"</f>
        <v>00025348 / 1</v>
      </c>
      <c r="B1406" t="str">
        <f>"Folha Mensal"</f>
        <v>Folha Mensal</v>
      </c>
      <c r="C1406" t="str">
        <f>"Maria Lucia Souza da Silva"</f>
        <v>Maria Lucia Souza da Silva</v>
      </c>
      <c r="D1406" t="str">
        <f t="shared" si="141"/>
        <v>PROFESSOR</v>
      </c>
      <c r="E1406" t="str">
        <f t="shared" si="142"/>
        <v>Efetivo-Inativo I- RJUSM</v>
      </c>
      <c r="F1406" t="str">
        <f>"R$ 2.071,51"</f>
        <v>R$ 2.071,51</v>
      </c>
      <c r="G1406" t="str">
        <f>"R$ 2.589,38"</f>
        <v>R$ 2.589,38</v>
      </c>
      <c r="H1406" t="str">
        <f t="shared" si="137"/>
        <v>R$ 0,00</v>
      </c>
      <c r="I1406" t="str">
        <f>"R$ 2.589,38"</f>
        <v>R$ 2.589,38</v>
      </c>
      <c r="J1406" t="str">
        <f>"R$ 738,12"</f>
        <v>R$ 738,12</v>
      </c>
      <c r="K1406" t="str">
        <f>"R$ 1.851,26"</f>
        <v>R$ 1.851,26</v>
      </c>
    </row>
    <row r="1407" spans="1:11" x14ac:dyDescent="0.25">
      <c r="A1407" t="str">
        <f>"00044423 / 1"</f>
        <v>00044423 / 1</v>
      </c>
      <c r="B1407" t="str">
        <f>"13° Salário Anual"</f>
        <v>13° Salário Anual</v>
      </c>
      <c r="C1407" t="str">
        <f>"Maria Luiza Asevedo Barata Souza"</f>
        <v>Maria Luiza Asevedo Barata Souza</v>
      </c>
      <c r="D1407" t="str">
        <f t="shared" si="141"/>
        <v>PROFESSOR</v>
      </c>
      <c r="E1407" t="str">
        <f t="shared" si="142"/>
        <v>Efetivo-Inativo I- RJUSM</v>
      </c>
      <c r="F1407" t="str">
        <f>"R$ 1.593,46"</f>
        <v>R$ 1.593,46</v>
      </c>
      <c r="G1407" t="str">
        <f>"R$ 2.071,49"</f>
        <v>R$ 2.071,49</v>
      </c>
      <c r="H1407" t="str">
        <f t="shared" si="137"/>
        <v>R$ 0,00</v>
      </c>
      <c r="I1407" t="str">
        <f>"R$ 2.071,49"</f>
        <v>R$ 2.071,49</v>
      </c>
      <c r="J1407" t="str">
        <f>"R$ 1.035,74"</f>
        <v>R$ 1.035,74</v>
      </c>
      <c r="K1407" t="str">
        <f>"R$ 1.035,75"</f>
        <v>R$ 1.035,75</v>
      </c>
    </row>
    <row r="1408" spans="1:11" x14ac:dyDescent="0.25">
      <c r="A1408" t="str">
        <f>"00044423 / 1"</f>
        <v>00044423 / 1</v>
      </c>
      <c r="B1408" t="str">
        <f>"Folha Mensal"</f>
        <v>Folha Mensal</v>
      </c>
      <c r="C1408" t="str">
        <f>"Maria Luiza Asevedo Barata Souza"</f>
        <v>Maria Luiza Asevedo Barata Souza</v>
      </c>
      <c r="D1408" t="str">
        <f t="shared" si="141"/>
        <v>PROFESSOR</v>
      </c>
      <c r="E1408" t="str">
        <f t="shared" si="142"/>
        <v>Efetivo-Inativo I- RJUSM</v>
      </c>
      <c r="F1408" t="str">
        <f>"R$ 1.593,46"</f>
        <v>R$ 1.593,46</v>
      </c>
      <c r="G1408" t="str">
        <f>"R$ 2.071,49"</f>
        <v>R$ 2.071,49</v>
      </c>
      <c r="H1408" t="str">
        <f t="shared" si="137"/>
        <v>R$ 0,00</v>
      </c>
      <c r="I1408" t="str">
        <f>"R$ 2.071,49"</f>
        <v>R$ 2.071,49</v>
      </c>
      <c r="J1408" t="str">
        <f>"R$ 600,67"</f>
        <v>R$ 600,67</v>
      </c>
      <c r="K1408" t="str">
        <f>"R$ 1.470,82"</f>
        <v>R$ 1.470,82</v>
      </c>
    </row>
    <row r="1409" spans="1:11" x14ac:dyDescent="0.25">
      <c r="A1409" t="str">
        <f>"00051802 / 1"</f>
        <v>00051802 / 1</v>
      </c>
      <c r="B1409" t="str">
        <f>"13° Salário Anual"</f>
        <v>13° Salário Anual</v>
      </c>
      <c r="C1409" t="str">
        <f>"Maria Luiza Costa da Rocha"</f>
        <v>Maria Luiza Costa da Rocha</v>
      </c>
      <c r="D1409" t="str">
        <f t="shared" si="141"/>
        <v>PROFESSOR</v>
      </c>
      <c r="E1409" t="str">
        <f t="shared" si="142"/>
        <v>Efetivo-Inativo I- RJUSM</v>
      </c>
      <c r="F1409" t="str">
        <f>"R$ 1.593,46"</f>
        <v>R$ 1.593,46</v>
      </c>
      <c r="G1409" t="str">
        <f>"R$ 1.752,80"</f>
        <v>R$ 1.752,80</v>
      </c>
      <c r="H1409" t="str">
        <f t="shared" si="137"/>
        <v>R$ 0,00</v>
      </c>
      <c r="I1409" t="str">
        <f>"R$ 1.752,80"</f>
        <v>R$ 1.752,80</v>
      </c>
      <c r="J1409" t="str">
        <f>"R$ 876,40"</f>
        <v>R$ 876,40</v>
      </c>
      <c r="K1409" t="str">
        <f>"R$ 876,40"</f>
        <v>R$ 876,40</v>
      </c>
    </row>
    <row r="1410" spans="1:11" x14ac:dyDescent="0.25">
      <c r="A1410" t="str">
        <f>"00051802 / 1"</f>
        <v>00051802 / 1</v>
      </c>
      <c r="B1410" t="str">
        <f>"Folha Mensal"</f>
        <v>Folha Mensal</v>
      </c>
      <c r="C1410" t="str">
        <f>"Maria Luiza Costa da Rocha"</f>
        <v>Maria Luiza Costa da Rocha</v>
      </c>
      <c r="D1410" t="str">
        <f t="shared" si="141"/>
        <v>PROFESSOR</v>
      </c>
      <c r="E1410" t="str">
        <f t="shared" si="142"/>
        <v>Efetivo-Inativo I- RJUSM</v>
      </c>
      <c r="F1410" t="str">
        <f>"R$ 1.593,46"</f>
        <v>R$ 1.593,46</v>
      </c>
      <c r="G1410" t="str">
        <f>"R$ 1.752,80"</f>
        <v>R$ 1.752,80</v>
      </c>
      <c r="H1410" t="str">
        <f t="shared" si="137"/>
        <v>R$ 0,00</v>
      </c>
      <c r="I1410" t="str">
        <f>"R$ 1.752,80"</f>
        <v>R$ 1.752,80</v>
      </c>
      <c r="J1410" t="str">
        <f>"R$ 0,00"</f>
        <v>R$ 0,00</v>
      </c>
      <c r="K1410" t="str">
        <f>"R$ 1.752,80"</f>
        <v>R$ 1.752,80</v>
      </c>
    </row>
    <row r="1411" spans="1:11" x14ac:dyDescent="0.25">
      <c r="A1411" t="str">
        <f>"00008656 / 1"</f>
        <v>00008656 / 1</v>
      </c>
      <c r="B1411" t="str">
        <f>"13° Salário Anual"</f>
        <v>13° Salário Anual</v>
      </c>
      <c r="C1411" t="str">
        <f>"Maria Luiza Menezes da Silva"</f>
        <v>Maria Luiza Menezes da Silva</v>
      </c>
      <c r="D1411" t="str">
        <f t="shared" si="141"/>
        <v>PROFESSOR</v>
      </c>
      <c r="E1411" t="str">
        <f t="shared" si="142"/>
        <v>Efetivo-Inativo I- RJUSM</v>
      </c>
      <c r="F1411" t="str">
        <f>"R$ 2.071,51"</f>
        <v>R$ 2.071,51</v>
      </c>
      <c r="G1411" t="str">
        <f>"R$ 2.589,38"</f>
        <v>R$ 2.589,38</v>
      </c>
      <c r="H1411" t="str">
        <f t="shared" si="137"/>
        <v>R$ 0,00</v>
      </c>
      <c r="I1411" t="str">
        <f>"R$ 2.589,38"</f>
        <v>R$ 2.589,38</v>
      </c>
      <c r="J1411" t="str">
        <f>"R$ 1.346,09"</f>
        <v>R$ 1.346,09</v>
      </c>
      <c r="K1411" t="str">
        <f>"R$ 1.243,29"</f>
        <v>R$ 1.243,29</v>
      </c>
    </row>
    <row r="1412" spans="1:11" x14ac:dyDescent="0.25">
      <c r="A1412" t="str">
        <f>"00008656 / 1"</f>
        <v>00008656 / 1</v>
      </c>
      <c r="B1412" t="str">
        <f>"Folha Mensal"</f>
        <v>Folha Mensal</v>
      </c>
      <c r="C1412" t="str">
        <f>"Maria Luiza Menezes da Silva"</f>
        <v>Maria Luiza Menezes da Silva</v>
      </c>
      <c r="D1412" t="str">
        <f t="shared" si="141"/>
        <v>PROFESSOR</v>
      </c>
      <c r="E1412" t="str">
        <f t="shared" si="142"/>
        <v>Efetivo-Inativo I- RJUSM</v>
      </c>
      <c r="F1412" t="str">
        <f>"R$ 2.071,51"</f>
        <v>R$ 2.071,51</v>
      </c>
      <c r="G1412" t="str">
        <f>"R$ 2.589,38"</f>
        <v>R$ 2.589,38</v>
      </c>
      <c r="H1412" t="str">
        <f t="shared" si="137"/>
        <v>R$ 0,00</v>
      </c>
      <c r="I1412" t="str">
        <f>"R$ 2.589,38"</f>
        <v>R$ 2.589,38</v>
      </c>
      <c r="J1412" t="str">
        <f>"R$ 51,40"</f>
        <v>R$ 51,40</v>
      </c>
      <c r="K1412" t="str">
        <f>"R$ 2.537,98"</f>
        <v>R$ 2.537,98</v>
      </c>
    </row>
    <row r="1413" spans="1:11" x14ac:dyDescent="0.25">
      <c r="A1413" t="str">
        <f>"00009610 / 1"</f>
        <v>00009610 / 1</v>
      </c>
      <c r="B1413" t="str">
        <f>"13° Salário Anual"</f>
        <v>13° Salário Anual</v>
      </c>
      <c r="C1413" t="str">
        <f>"Maria Luiza Negrao Soares de Souza"</f>
        <v>Maria Luiza Negrao Soares de Souza</v>
      </c>
      <c r="D1413" t="str">
        <f>"PROFESSOR NIVEL I"</f>
        <v>PROFESSOR NIVEL I</v>
      </c>
      <c r="E1413" t="str">
        <f>"Efetivo-Inativos II-RJUSM"</f>
        <v>Efetivo-Inativos II-RJUSM</v>
      </c>
      <c r="F1413" t="str">
        <f>"R$ 4.780,42"</f>
        <v>R$ 4.780,42</v>
      </c>
      <c r="G1413" t="str">
        <f>"R$ 6.214,54"</f>
        <v>R$ 6.214,54</v>
      </c>
      <c r="H1413" t="str">
        <f t="shared" si="137"/>
        <v>R$ 0,00</v>
      </c>
      <c r="I1413" t="str">
        <f>"R$ 6.214,54"</f>
        <v>R$ 6.214,54</v>
      </c>
      <c r="J1413" t="str">
        <f>"R$ 3.906,28"</f>
        <v>R$ 3.906,28</v>
      </c>
      <c r="K1413" t="str">
        <f>"R$ 2.308,26"</f>
        <v>R$ 2.308,26</v>
      </c>
    </row>
    <row r="1414" spans="1:11" x14ac:dyDescent="0.25">
      <c r="A1414" t="str">
        <f>"00009610 / 1"</f>
        <v>00009610 / 1</v>
      </c>
      <c r="B1414" t="str">
        <f>"Folha Mensal"</f>
        <v>Folha Mensal</v>
      </c>
      <c r="C1414" t="str">
        <f>"Maria Luiza Negrao Soares de Souza"</f>
        <v>Maria Luiza Negrao Soares de Souza</v>
      </c>
      <c r="D1414" t="str">
        <f>"PROFESSOR NIVEL I"</f>
        <v>PROFESSOR NIVEL I</v>
      </c>
      <c r="E1414" t="str">
        <f>"Efetivo-Inativos II-RJUSM"</f>
        <v>Efetivo-Inativos II-RJUSM</v>
      </c>
      <c r="F1414" t="str">
        <f>"R$ 4.780,42"</f>
        <v>R$ 4.780,42</v>
      </c>
      <c r="G1414" t="str">
        <f>"R$ 6.214,54"</f>
        <v>R$ 6.214,54</v>
      </c>
      <c r="H1414" t="str">
        <f t="shared" si="137"/>
        <v>R$ 0,00</v>
      </c>
      <c r="I1414" t="str">
        <f>"R$ 6.214,54"</f>
        <v>R$ 6.214,54</v>
      </c>
      <c r="J1414" t="str">
        <f>"R$ 2.689,22"</f>
        <v>R$ 2.689,22</v>
      </c>
      <c r="K1414" t="str">
        <f>"R$ 3.525,32"</f>
        <v>R$ 3.525,32</v>
      </c>
    </row>
    <row r="1415" spans="1:11" x14ac:dyDescent="0.25">
      <c r="A1415" t="str">
        <f>"00025585 / 1"</f>
        <v>00025585 / 1</v>
      </c>
      <c r="B1415" t="str">
        <f>"13° Salário Anual"</f>
        <v>13° Salário Anual</v>
      </c>
      <c r="C1415" t="str">
        <f>"Maria Luiza Pedro de Camargo"</f>
        <v>Maria Luiza Pedro de Camargo</v>
      </c>
      <c r="D1415" t="str">
        <f>"PROFESSOR"</f>
        <v>PROFESSOR</v>
      </c>
      <c r="E1415" t="str">
        <f>"Efetivo-Inativo I- RJUSM"</f>
        <v>Efetivo-Inativo I- RJUSM</v>
      </c>
      <c r="F1415" t="str">
        <f>"R$ 1.593,46"</f>
        <v>R$ 1.593,46</v>
      </c>
      <c r="G1415" t="str">
        <f>"R$ 1.991,82"</f>
        <v>R$ 1.991,82</v>
      </c>
      <c r="H1415" t="str">
        <f t="shared" si="137"/>
        <v>R$ 0,00</v>
      </c>
      <c r="I1415" t="str">
        <f>"R$ 1.991,82"</f>
        <v>R$ 1.991,82</v>
      </c>
      <c r="J1415" t="str">
        <f>"R$ 995,91"</f>
        <v>R$ 995,91</v>
      </c>
      <c r="K1415" t="str">
        <f>"R$ 995,91"</f>
        <v>R$ 995,91</v>
      </c>
    </row>
    <row r="1416" spans="1:11" x14ac:dyDescent="0.25">
      <c r="A1416" t="str">
        <f>"00025585 / 1"</f>
        <v>00025585 / 1</v>
      </c>
      <c r="B1416" t="str">
        <f>"Folha Mensal"</f>
        <v>Folha Mensal</v>
      </c>
      <c r="C1416" t="str">
        <f>"Maria Luiza Pedro de Camargo"</f>
        <v>Maria Luiza Pedro de Camargo</v>
      </c>
      <c r="D1416" t="str">
        <f>"PROFESSOR"</f>
        <v>PROFESSOR</v>
      </c>
      <c r="E1416" t="str">
        <f>"Efetivo-Inativo I- RJUSM"</f>
        <v>Efetivo-Inativo I- RJUSM</v>
      </c>
      <c r="F1416" t="str">
        <f>"R$ 1.593,46"</f>
        <v>R$ 1.593,46</v>
      </c>
      <c r="G1416" t="str">
        <f>"R$ 1.991,82"</f>
        <v>R$ 1.991,82</v>
      </c>
      <c r="H1416" t="str">
        <f t="shared" si="137"/>
        <v>R$ 0,00</v>
      </c>
      <c r="I1416" t="str">
        <f>"R$ 1.991,82"</f>
        <v>R$ 1.991,82</v>
      </c>
      <c r="J1416" t="str">
        <f>"R$ 324,21"</f>
        <v>R$ 324,21</v>
      </c>
      <c r="K1416" t="str">
        <f>"R$ 1.667,61"</f>
        <v>R$ 1.667,61</v>
      </c>
    </row>
    <row r="1417" spans="1:11" x14ac:dyDescent="0.25">
      <c r="A1417" t="str">
        <f>"00030791 / 2"</f>
        <v>00030791 / 2</v>
      </c>
      <c r="B1417" t="str">
        <f>"13° Salário Anual"</f>
        <v>13° Salário Anual</v>
      </c>
      <c r="C1417" t="str">
        <f>"Maria Luzanita Alves da Silva"</f>
        <v>Maria Luzanita Alves da Silva</v>
      </c>
      <c r="D1417" t="str">
        <f>"PROFESSOR NIVEL II"</f>
        <v>PROFESSOR NIVEL II</v>
      </c>
      <c r="E1417" t="str">
        <f>"Efetivo-Inativos II-RJUSM"</f>
        <v>Efetivo-Inativos II-RJUSM</v>
      </c>
      <c r="F1417" t="str">
        <f>"R$ 5.417,81"</f>
        <v>R$ 5.417,81</v>
      </c>
      <c r="G1417" t="str">
        <f>"R$ 6.772,26"</f>
        <v>R$ 6.772,26</v>
      </c>
      <c r="H1417" t="str">
        <f t="shared" si="137"/>
        <v>R$ 0,00</v>
      </c>
      <c r="I1417" t="str">
        <f>"R$ 6.772,26"</f>
        <v>R$ 6.772,26</v>
      </c>
      <c r="J1417" t="str">
        <f>"R$ 3.480,09"</f>
        <v>R$ 3.480,09</v>
      </c>
      <c r="K1417" t="str">
        <f>"R$ 3.292,17"</f>
        <v>R$ 3.292,17</v>
      </c>
    </row>
    <row r="1418" spans="1:11" x14ac:dyDescent="0.25">
      <c r="A1418" t="str">
        <f>"00030791 / 2"</f>
        <v>00030791 / 2</v>
      </c>
      <c r="B1418" t="str">
        <f>"Folha Mensal"</f>
        <v>Folha Mensal</v>
      </c>
      <c r="C1418" t="str">
        <f>"Maria Luzanita Alves da Silva"</f>
        <v>Maria Luzanita Alves da Silva</v>
      </c>
      <c r="D1418" t="str">
        <f>"PROFESSOR NIVEL II"</f>
        <v>PROFESSOR NIVEL II</v>
      </c>
      <c r="E1418" t="str">
        <f>"Efetivo-Inativos II-RJUSM"</f>
        <v>Efetivo-Inativos II-RJUSM</v>
      </c>
      <c r="F1418" t="str">
        <f>"R$ 5.417,81"</f>
        <v>R$ 5.417,81</v>
      </c>
      <c r="G1418" t="str">
        <f>"R$ 6.772,26"</f>
        <v>R$ 6.772,26</v>
      </c>
      <c r="H1418" t="str">
        <f t="shared" si="137"/>
        <v>R$ 0,00</v>
      </c>
      <c r="I1418" t="str">
        <f>"R$ 6.772,26"</f>
        <v>R$ 6.772,26</v>
      </c>
      <c r="J1418" t="str">
        <f>"R$ 2.411,77"</f>
        <v>R$ 2.411,77</v>
      </c>
      <c r="K1418" t="str">
        <f>"R$ 4.360,49"</f>
        <v>R$ 4.360,49</v>
      </c>
    </row>
    <row r="1419" spans="1:11" x14ac:dyDescent="0.25">
      <c r="A1419" t="str">
        <f>"00002534 / 1"</f>
        <v>00002534 / 1</v>
      </c>
      <c r="B1419" t="str">
        <f>"13° Salário Anual"</f>
        <v>13° Salário Anual</v>
      </c>
      <c r="C1419" t="str">
        <f>"Maria Madalena Andrade Ribeiro"</f>
        <v>Maria Madalena Andrade Ribeiro</v>
      </c>
      <c r="D1419" t="str">
        <f>"PROFESSOR"</f>
        <v>PROFESSOR</v>
      </c>
      <c r="E1419" t="str">
        <f>"Efetivo-Inativo I- RJUSM"</f>
        <v>Efetivo-Inativo I- RJUSM</v>
      </c>
      <c r="F1419" t="str">
        <f>"R$ 1.593,46"</f>
        <v>R$ 1.593,46</v>
      </c>
      <c r="G1419" t="str">
        <f>"R$ 1.991,82"</f>
        <v>R$ 1.991,82</v>
      </c>
      <c r="H1419" t="str">
        <f t="shared" si="137"/>
        <v>R$ 0,00</v>
      </c>
      <c r="I1419" t="str">
        <f>"R$ 1.991,82"</f>
        <v>R$ 1.991,82</v>
      </c>
      <c r="J1419" t="str">
        <f>"R$ 995,91"</f>
        <v>R$ 995,91</v>
      </c>
      <c r="K1419" t="str">
        <f>"R$ 995,91"</f>
        <v>R$ 995,91</v>
      </c>
    </row>
    <row r="1420" spans="1:11" x14ac:dyDescent="0.25">
      <c r="A1420" t="str">
        <f>"00002534 / 1"</f>
        <v>00002534 / 1</v>
      </c>
      <c r="B1420" t="str">
        <f>"Folha Mensal"</f>
        <v>Folha Mensal</v>
      </c>
      <c r="C1420" t="str">
        <f>"Maria Madalena Andrade Ribeiro"</f>
        <v>Maria Madalena Andrade Ribeiro</v>
      </c>
      <c r="D1420" t="str">
        <f>"PROFESSOR"</f>
        <v>PROFESSOR</v>
      </c>
      <c r="E1420" t="str">
        <f>"Efetivo-Inativo I- RJUSM"</f>
        <v>Efetivo-Inativo I- RJUSM</v>
      </c>
      <c r="F1420" t="str">
        <f>"R$ 1.593,46"</f>
        <v>R$ 1.593,46</v>
      </c>
      <c r="G1420" t="str">
        <f>"R$ 1.991,82"</f>
        <v>R$ 1.991,82</v>
      </c>
      <c r="H1420" t="str">
        <f t="shared" si="137"/>
        <v>R$ 0,00</v>
      </c>
      <c r="I1420" t="str">
        <f>"R$ 1.991,82"</f>
        <v>R$ 1.991,82</v>
      </c>
      <c r="J1420" t="str">
        <f>"R$ 0,00"</f>
        <v>R$ 0,00</v>
      </c>
      <c r="K1420" t="str">
        <f>"R$ 1.991,82"</f>
        <v>R$ 1.991,82</v>
      </c>
    </row>
    <row r="1421" spans="1:11" x14ac:dyDescent="0.25">
      <c r="A1421" t="str">
        <f>"03642895 / 1"</f>
        <v>03642895 / 1</v>
      </c>
      <c r="B1421" t="str">
        <f>"13° Salário Anual"</f>
        <v>13° Salário Anual</v>
      </c>
      <c r="C1421" t="str">
        <f>"Maria Madalena dos Santos Rodrigues"</f>
        <v>Maria Madalena dos Santos Rodrigues</v>
      </c>
      <c r="D1421" t="str">
        <f>"PENSIONISTA"</f>
        <v>PENSIONISTA</v>
      </c>
      <c r="E1421" t="str">
        <f>"Pensionista"</f>
        <v>Pensionista</v>
      </c>
      <c r="F1421" t="str">
        <f>"R$ 1.100,00"</f>
        <v>R$ 1.100,00</v>
      </c>
      <c r="G1421" t="str">
        <f>"R$ 1.100,00"</f>
        <v>R$ 1.100,00</v>
      </c>
      <c r="H1421" t="str">
        <f t="shared" si="137"/>
        <v>R$ 0,00</v>
      </c>
      <c r="I1421" t="str">
        <f>"R$ 1.100,00"</f>
        <v>R$ 1.100,00</v>
      </c>
      <c r="J1421" t="str">
        <f>"R$ 550,00"</f>
        <v>R$ 550,00</v>
      </c>
      <c r="K1421" t="str">
        <f>"R$ 550,00"</f>
        <v>R$ 550,00</v>
      </c>
    </row>
    <row r="1422" spans="1:11" x14ac:dyDescent="0.25">
      <c r="A1422" t="str">
        <f>"03642895 / 1"</f>
        <v>03642895 / 1</v>
      </c>
      <c r="B1422" t="str">
        <f>"Folha Mensal"</f>
        <v>Folha Mensal</v>
      </c>
      <c r="C1422" t="str">
        <f>"Maria Madalena dos Santos Rodrigues"</f>
        <v>Maria Madalena dos Santos Rodrigues</v>
      </c>
      <c r="D1422" t="str">
        <f>"PENSIONISTA"</f>
        <v>PENSIONISTA</v>
      </c>
      <c r="E1422" t="str">
        <f>"Pensionista"</f>
        <v>Pensionista</v>
      </c>
      <c r="F1422" t="str">
        <f>"R$ 1.100,00"</f>
        <v>R$ 1.100,00</v>
      </c>
      <c r="G1422" t="str">
        <f>"R$ 1.100,00"</f>
        <v>R$ 1.100,00</v>
      </c>
      <c r="H1422" t="str">
        <f t="shared" si="137"/>
        <v>R$ 0,00</v>
      </c>
      <c r="I1422" t="str">
        <f>"R$ 1.100,00"</f>
        <v>R$ 1.100,00</v>
      </c>
      <c r="J1422" t="str">
        <f>"R$ 0,00"</f>
        <v>R$ 0,00</v>
      </c>
      <c r="K1422" t="str">
        <f>"R$ 1.100,00"</f>
        <v>R$ 1.100,00</v>
      </c>
    </row>
    <row r="1423" spans="1:11" x14ac:dyDescent="0.25">
      <c r="A1423" t="str">
        <f>"00057770 / 1"</f>
        <v>00057770 / 1</v>
      </c>
      <c r="B1423" t="str">
        <f>"13° Salário Anual"</f>
        <v>13° Salário Anual</v>
      </c>
      <c r="C1423" t="str">
        <f>"Maria Madalena Maia Vieira"</f>
        <v>Maria Madalena Maia Vieira</v>
      </c>
      <c r="D1423" t="str">
        <f>"PROFESSOR"</f>
        <v>PROFESSOR</v>
      </c>
      <c r="E1423" t="str">
        <f t="shared" ref="E1423:E1428" si="143">"Efetivo-Inativo I- RJUSM"</f>
        <v>Efetivo-Inativo I- RJUSM</v>
      </c>
      <c r="F1423" t="str">
        <f>"R$ 1.593,46"</f>
        <v>R$ 1.593,46</v>
      </c>
      <c r="G1423" t="str">
        <f>"R$ 1.673,13"</f>
        <v>R$ 1.673,13</v>
      </c>
      <c r="H1423" t="str">
        <f t="shared" si="137"/>
        <v>R$ 0,00</v>
      </c>
      <c r="I1423" t="str">
        <f>"R$ 1.673,13"</f>
        <v>R$ 1.673,13</v>
      </c>
      <c r="J1423" t="str">
        <f>"R$ 836,56"</f>
        <v>R$ 836,56</v>
      </c>
      <c r="K1423" t="str">
        <f>"R$ 836,57"</f>
        <v>R$ 836,57</v>
      </c>
    </row>
    <row r="1424" spans="1:11" x14ac:dyDescent="0.25">
      <c r="A1424" t="str">
        <f>"00057770 / 1"</f>
        <v>00057770 / 1</v>
      </c>
      <c r="B1424" t="str">
        <f>"Folha Mensal"</f>
        <v>Folha Mensal</v>
      </c>
      <c r="C1424" t="str">
        <f>"Maria Madalena Maia Vieira"</f>
        <v>Maria Madalena Maia Vieira</v>
      </c>
      <c r="D1424" t="str">
        <f>"PROFESSOR"</f>
        <v>PROFESSOR</v>
      </c>
      <c r="E1424" t="str">
        <f t="shared" si="143"/>
        <v>Efetivo-Inativo I- RJUSM</v>
      </c>
      <c r="F1424" t="str">
        <f>"R$ 1.593,46"</f>
        <v>R$ 1.593,46</v>
      </c>
      <c r="G1424" t="str">
        <f>"R$ 1.673,13"</f>
        <v>R$ 1.673,13</v>
      </c>
      <c r="H1424" t="str">
        <f t="shared" si="137"/>
        <v>R$ 0,00</v>
      </c>
      <c r="I1424" t="str">
        <f>"R$ 1.673,13"</f>
        <v>R$ 1.673,13</v>
      </c>
      <c r="J1424" t="str">
        <f>"R$ 0,00"</f>
        <v>R$ 0,00</v>
      </c>
      <c r="K1424" t="str">
        <f>"R$ 1.673,13"</f>
        <v>R$ 1.673,13</v>
      </c>
    </row>
    <row r="1425" spans="1:11" x14ac:dyDescent="0.25">
      <c r="A1425" t="str">
        <f>"00008028 / 1"</f>
        <v>00008028 / 1</v>
      </c>
      <c r="B1425" t="str">
        <f>"13° Salário Anual"</f>
        <v>13° Salário Anual</v>
      </c>
      <c r="C1425" t="str">
        <f>"Maria Madalena Tavares de Assuncao Coelho"</f>
        <v>Maria Madalena Tavares de Assuncao Coelho</v>
      </c>
      <c r="D1425" t="str">
        <f>"PROP TEMP SERVICO"</f>
        <v>PROP TEMP SERVICO</v>
      </c>
      <c r="E1425" t="str">
        <f t="shared" si="143"/>
        <v>Efetivo-Inativo I- RJUSM</v>
      </c>
      <c r="F1425" t="str">
        <f t="shared" ref="F1425:G1430" si="144">"R$ 1.100,00"</f>
        <v>R$ 1.100,00</v>
      </c>
      <c r="G1425" t="str">
        <f t="shared" si="144"/>
        <v>R$ 1.100,00</v>
      </c>
      <c r="H1425" t="str">
        <f t="shared" si="137"/>
        <v>R$ 0,00</v>
      </c>
      <c r="I1425" t="str">
        <f t="shared" ref="I1425:I1430" si="145">"R$ 1.100,00"</f>
        <v>R$ 1.100,00</v>
      </c>
      <c r="J1425" t="str">
        <f>"R$ 550,00"</f>
        <v>R$ 550,00</v>
      </c>
      <c r="K1425" t="str">
        <f>"R$ 550,00"</f>
        <v>R$ 550,00</v>
      </c>
    </row>
    <row r="1426" spans="1:11" x14ac:dyDescent="0.25">
      <c r="A1426" t="str">
        <f>"00008028 / 1"</f>
        <v>00008028 / 1</v>
      </c>
      <c r="B1426" t="str">
        <f>"Folha Mensal"</f>
        <v>Folha Mensal</v>
      </c>
      <c r="C1426" t="str">
        <f>"Maria Madalena Tavares de Assuncao Coelho"</f>
        <v>Maria Madalena Tavares de Assuncao Coelho</v>
      </c>
      <c r="D1426" t="str">
        <f>"PROP TEMP SERVICO"</f>
        <v>PROP TEMP SERVICO</v>
      </c>
      <c r="E1426" t="str">
        <f t="shared" si="143"/>
        <v>Efetivo-Inativo I- RJUSM</v>
      </c>
      <c r="F1426" t="str">
        <f t="shared" si="144"/>
        <v>R$ 1.100,00</v>
      </c>
      <c r="G1426" t="str">
        <f t="shared" si="144"/>
        <v>R$ 1.100,00</v>
      </c>
      <c r="H1426" t="str">
        <f t="shared" si="137"/>
        <v>R$ 0,00</v>
      </c>
      <c r="I1426" t="str">
        <f t="shared" si="145"/>
        <v>R$ 1.100,00</v>
      </c>
      <c r="J1426" t="str">
        <f>"R$ 0,00"</f>
        <v>R$ 0,00</v>
      </c>
      <c r="K1426" t="str">
        <f>"R$ 1.100,00"</f>
        <v>R$ 1.100,00</v>
      </c>
    </row>
    <row r="1427" spans="1:11" x14ac:dyDescent="0.25">
      <c r="A1427" t="str">
        <f>"00023990 / 1"</f>
        <v>00023990 / 1</v>
      </c>
      <c r="B1427" t="str">
        <f>"13° Salário Anual"</f>
        <v>13° Salário Anual</v>
      </c>
      <c r="C1427" t="str">
        <f>"Maria Martins Costa do Rosario"</f>
        <v>Maria Martins Costa do Rosario</v>
      </c>
      <c r="D1427" t="str">
        <f>"PROP IDADE"</f>
        <v>PROP IDADE</v>
      </c>
      <c r="E1427" t="str">
        <f t="shared" si="143"/>
        <v>Efetivo-Inativo I- RJUSM</v>
      </c>
      <c r="F1427" t="str">
        <f t="shared" si="144"/>
        <v>R$ 1.100,00</v>
      </c>
      <c r="G1427" t="str">
        <f t="shared" si="144"/>
        <v>R$ 1.100,00</v>
      </c>
      <c r="H1427" t="str">
        <f t="shared" si="137"/>
        <v>R$ 0,00</v>
      </c>
      <c r="I1427" t="str">
        <f t="shared" si="145"/>
        <v>R$ 1.100,00</v>
      </c>
      <c r="J1427" t="str">
        <f>"R$ 550,00"</f>
        <v>R$ 550,00</v>
      </c>
      <c r="K1427" t="str">
        <f>"R$ 550,00"</f>
        <v>R$ 550,00</v>
      </c>
    </row>
    <row r="1428" spans="1:11" x14ac:dyDescent="0.25">
      <c r="A1428" t="str">
        <f>"00023990 / 1"</f>
        <v>00023990 / 1</v>
      </c>
      <c r="B1428" t="str">
        <f>"Folha Mensal"</f>
        <v>Folha Mensal</v>
      </c>
      <c r="C1428" t="str">
        <f>"Maria Martins Costa do Rosario"</f>
        <v>Maria Martins Costa do Rosario</v>
      </c>
      <c r="D1428" t="str">
        <f>"PROP IDADE"</f>
        <v>PROP IDADE</v>
      </c>
      <c r="E1428" t="str">
        <f t="shared" si="143"/>
        <v>Efetivo-Inativo I- RJUSM</v>
      </c>
      <c r="F1428" t="str">
        <f t="shared" si="144"/>
        <v>R$ 1.100,00</v>
      </c>
      <c r="G1428" t="str">
        <f t="shared" si="144"/>
        <v>R$ 1.100,00</v>
      </c>
      <c r="H1428" t="str">
        <f t="shared" si="137"/>
        <v>R$ 0,00</v>
      </c>
      <c r="I1428" t="str">
        <f t="shared" si="145"/>
        <v>R$ 1.100,00</v>
      </c>
      <c r="J1428" t="str">
        <f>"R$ 383,95"</f>
        <v>R$ 383,95</v>
      </c>
      <c r="K1428" t="str">
        <f>"R$ 716,05"</f>
        <v>R$ 716,05</v>
      </c>
    </row>
    <row r="1429" spans="1:11" x14ac:dyDescent="0.25">
      <c r="A1429" t="str">
        <f>"03642909 / 1"</f>
        <v>03642909 / 1</v>
      </c>
      <c r="B1429" t="str">
        <f>"13° Salário Anual"</f>
        <v>13° Salário Anual</v>
      </c>
      <c r="C1429" t="str">
        <f>"Maria Monteiro Nunes"</f>
        <v>Maria Monteiro Nunes</v>
      </c>
      <c r="D1429" t="str">
        <f>"PENSIONISTA"</f>
        <v>PENSIONISTA</v>
      </c>
      <c r="E1429" t="str">
        <f>"Pensionista"</f>
        <v>Pensionista</v>
      </c>
      <c r="F1429" t="str">
        <f t="shared" si="144"/>
        <v>R$ 1.100,00</v>
      </c>
      <c r="G1429" t="str">
        <f t="shared" si="144"/>
        <v>R$ 1.100,00</v>
      </c>
      <c r="H1429" t="str">
        <f t="shared" si="137"/>
        <v>R$ 0,00</v>
      </c>
      <c r="I1429" t="str">
        <f t="shared" si="145"/>
        <v>R$ 1.100,00</v>
      </c>
      <c r="J1429" t="str">
        <f>"R$ 550,00"</f>
        <v>R$ 550,00</v>
      </c>
      <c r="K1429" t="str">
        <f>"R$ 550,00"</f>
        <v>R$ 550,00</v>
      </c>
    </row>
    <row r="1430" spans="1:11" x14ac:dyDescent="0.25">
      <c r="A1430" t="str">
        <f>"03642909 / 1"</f>
        <v>03642909 / 1</v>
      </c>
      <c r="B1430" t="str">
        <f>"Folha Mensal"</f>
        <v>Folha Mensal</v>
      </c>
      <c r="C1430" t="str">
        <f>"Maria Monteiro Nunes"</f>
        <v>Maria Monteiro Nunes</v>
      </c>
      <c r="D1430" t="str">
        <f>"PENSIONISTA"</f>
        <v>PENSIONISTA</v>
      </c>
      <c r="E1430" t="str">
        <f>"Pensionista"</f>
        <v>Pensionista</v>
      </c>
      <c r="F1430" t="str">
        <f t="shared" si="144"/>
        <v>R$ 1.100,00</v>
      </c>
      <c r="G1430" t="str">
        <f t="shared" si="144"/>
        <v>R$ 1.100,00</v>
      </c>
      <c r="H1430" t="str">
        <f t="shared" si="137"/>
        <v>R$ 0,00</v>
      </c>
      <c r="I1430" t="str">
        <f t="shared" si="145"/>
        <v>R$ 1.100,00</v>
      </c>
      <c r="J1430" t="str">
        <f>"R$ 263,33"</f>
        <v>R$ 263,33</v>
      </c>
      <c r="K1430" t="str">
        <f>"R$ 836,67"</f>
        <v>R$ 836,67</v>
      </c>
    </row>
    <row r="1431" spans="1:11" x14ac:dyDescent="0.25">
      <c r="A1431" t="str">
        <f>"00010413 / 2"</f>
        <v>00010413 / 2</v>
      </c>
      <c r="B1431" t="str">
        <f>"13° Salário Anual"</f>
        <v>13° Salário Anual</v>
      </c>
      <c r="C1431" t="str">
        <f>"Maria Natividade Macedo de Melo"</f>
        <v>Maria Natividade Macedo de Melo</v>
      </c>
      <c r="D1431" t="str">
        <f>"PROFESSOR NIVEL II"</f>
        <v>PROFESSOR NIVEL II</v>
      </c>
      <c r="E1431" t="str">
        <f t="shared" ref="E1431:E1436" si="146">"Efetivo-Inativos II-RJUSM"</f>
        <v>Efetivo-Inativos II-RJUSM</v>
      </c>
      <c r="F1431" t="str">
        <f>"R$ 5.736,47"</f>
        <v>R$ 5.736,47</v>
      </c>
      <c r="G1431" t="str">
        <f>"R$ 7.170,58"</f>
        <v>R$ 7.170,58</v>
      </c>
      <c r="H1431" t="str">
        <f t="shared" si="137"/>
        <v>R$ 0,00</v>
      </c>
      <c r="I1431" t="str">
        <f>"R$ 7.170,58"</f>
        <v>R$ 7.170,58</v>
      </c>
      <c r="J1431" t="str">
        <f>"R$ 4.796,39"</f>
        <v>R$ 4.796,39</v>
      </c>
      <c r="K1431" t="str">
        <f>"R$ 2.374,19"</f>
        <v>R$ 2.374,19</v>
      </c>
    </row>
    <row r="1432" spans="1:11" x14ac:dyDescent="0.25">
      <c r="A1432" t="str">
        <f>"00010413 / 2"</f>
        <v>00010413 / 2</v>
      </c>
      <c r="B1432" t="str">
        <f>"Folha Mensal"</f>
        <v>Folha Mensal</v>
      </c>
      <c r="C1432" t="str">
        <f>"Maria Natividade Macedo de Melo"</f>
        <v>Maria Natividade Macedo de Melo</v>
      </c>
      <c r="D1432" t="str">
        <f>"PROFESSOR NIVEL II"</f>
        <v>PROFESSOR NIVEL II</v>
      </c>
      <c r="E1432" t="str">
        <f t="shared" si="146"/>
        <v>Efetivo-Inativos II-RJUSM</v>
      </c>
      <c r="F1432" t="str">
        <f>"R$ 5.736,47"</f>
        <v>R$ 5.736,47</v>
      </c>
      <c r="G1432" t="str">
        <f>"R$ 7.170,58"</f>
        <v>R$ 7.170,58</v>
      </c>
      <c r="H1432" t="str">
        <f t="shared" si="137"/>
        <v>R$ 0,00</v>
      </c>
      <c r="I1432" t="str">
        <f>"R$ 7.170,58"</f>
        <v>R$ 7.170,58</v>
      </c>
      <c r="J1432" t="str">
        <f>"R$ 3.586,09"</f>
        <v>R$ 3.586,09</v>
      </c>
      <c r="K1432" t="str">
        <f>"R$ 3.584,49"</f>
        <v>R$ 3.584,49</v>
      </c>
    </row>
    <row r="1433" spans="1:11" x14ac:dyDescent="0.25">
      <c r="A1433" t="str">
        <f>"00024970 / 1"</f>
        <v>00024970 / 1</v>
      </c>
      <c r="B1433" t="str">
        <f>"13° Salário Anual"</f>
        <v>13° Salário Anual</v>
      </c>
      <c r="C1433" t="str">
        <f>"Maria Odete Andrade da Silva"</f>
        <v>Maria Odete Andrade da Silva</v>
      </c>
      <c r="D1433" t="str">
        <f>"PROFESSOR NIVEL II"</f>
        <v>PROFESSOR NIVEL II</v>
      </c>
      <c r="E1433" t="str">
        <f t="shared" si="146"/>
        <v>Efetivo-Inativos II-RJUSM</v>
      </c>
      <c r="F1433" t="str">
        <f>"R$ 5.736,47"</f>
        <v>R$ 5.736,47</v>
      </c>
      <c r="G1433" t="str">
        <f>"R$ 7.457,41"</f>
        <v>R$ 7.457,41</v>
      </c>
      <c r="H1433" t="str">
        <f t="shared" si="137"/>
        <v>R$ 0,00</v>
      </c>
      <c r="I1433" t="str">
        <f>"R$ 7.457,41"</f>
        <v>R$ 7.457,41</v>
      </c>
      <c r="J1433" t="str">
        <f>"R$ 5.047,79"</f>
        <v>R$ 5.047,79</v>
      </c>
      <c r="K1433" t="str">
        <f>"R$ 2.409,62"</f>
        <v>R$ 2.409,62</v>
      </c>
    </row>
    <row r="1434" spans="1:11" x14ac:dyDescent="0.25">
      <c r="A1434" t="str">
        <f>"00024970 / 1"</f>
        <v>00024970 / 1</v>
      </c>
      <c r="B1434" t="str">
        <f>"Folha Mensal"</f>
        <v>Folha Mensal</v>
      </c>
      <c r="C1434" t="str">
        <f>"Maria Odete Andrade da Silva"</f>
        <v>Maria Odete Andrade da Silva</v>
      </c>
      <c r="D1434" t="str">
        <f>"PROFESSOR NIVEL II"</f>
        <v>PROFESSOR NIVEL II</v>
      </c>
      <c r="E1434" t="str">
        <f t="shared" si="146"/>
        <v>Efetivo-Inativos II-RJUSM</v>
      </c>
      <c r="F1434" t="str">
        <f>"R$ 5.736,47"</f>
        <v>R$ 5.736,47</v>
      </c>
      <c r="G1434" t="str">
        <f>"R$ 7.457,41"</f>
        <v>R$ 7.457,41</v>
      </c>
      <c r="H1434" t="str">
        <f t="shared" si="137"/>
        <v>R$ 0,00</v>
      </c>
      <c r="I1434" t="str">
        <f>"R$ 7.457,41"</f>
        <v>R$ 7.457,41</v>
      </c>
      <c r="J1434" t="str">
        <f>"R$ 3.153,71"</f>
        <v>R$ 3.153,71</v>
      </c>
      <c r="K1434" t="str">
        <f>"R$ 4.303,70"</f>
        <v>R$ 4.303,70</v>
      </c>
    </row>
    <row r="1435" spans="1:11" x14ac:dyDescent="0.25">
      <c r="A1435" t="str">
        <f>"00187020 / 2"</f>
        <v>00187020 / 2</v>
      </c>
      <c r="B1435" t="str">
        <f>"13° Salário Anual"</f>
        <v>13° Salário Anual</v>
      </c>
      <c r="C1435" t="str">
        <f>"Maria Odete Souza da Costa"</f>
        <v>Maria Odete Souza da Costa</v>
      </c>
      <c r="D1435" t="str">
        <f>"AUXILIAR MUNICIPAL"</f>
        <v>AUXILIAR MUNICIPAL</v>
      </c>
      <c r="E1435" t="str">
        <f t="shared" si="146"/>
        <v>Efetivo-Inativos II-RJUSM</v>
      </c>
      <c r="F1435" t="str">
        <f>"R$ 1.100,00"</f>
        <v>R$ 1.100,00</v>
      </c>
      <c r="G1435" t="str">
        <f>"R$ 1.100,00"</f>
        <v>R$ 1.100,00</v>
      </c>
      <c r="H1435" t="str">
        <f t="shared" si="137"/>
        <v>R$ 0,00</v>
      </c>
      <c r="I1435" t="str">
        <f>"R$ 1.100,00"</f>
        <v>R$ 1.100,00</v>
      </c>
      <c r="J1435" t="str">
        <f>"R$ 550,00"</f>
        <v>R$ 550,00</v>
      </c>
      <c r="K1435" t="str">
        <f>"R$ 550,00"</f>
        <v>R$ 550,00</v>
      </c>
    </row>
    <row r="1436" spans="1:11" x14ac:dyDescent="0.25">
      <c r="A1436" t="str">
        <f>"00187020 / 2"</f>
        <v>00187020 / 2</v>
      </c>
      <c r="B1436" t="str">
        <f>"Folha Mensal"</f>
        <v>Folha Mensal</v>
      </c>
      <c r="C1436" t="str">
        <f>"Maria Odete Souza da Costa"</f>
        <v>Maria Odete Souza da Costa</v>
      </c>
      <c r="D1436" t="str">
        <f>"AUXILIAR MUNICIPAL"</f>
        <v>AUXILIAR MUNICIPAL</v>
      </c>
      <c r="E1436" t="str">
        <f t="shared" si="146"/>
        <v>Efetivo-Inativos II-RJUSM</v>
      </c>
      <c r="F1436" t="str">
        <f>"R$ 1.100,00"</f>
        <v>R$ 1.100,00</v>
      </c>
      <c r="G1436" t="str">
        <f>"R$ 1.100,00"</f>
        <v>R$ 1.100,00</v>
      </c>
      <c r="H1436" t="str">
        <f t="shared" si="137"/>
        <v>R$ 0,00</v>
      </c>
      <c r="I1436" t="str">
        <f>"R$ 1.100,00"</f>
        <v>R$ 1.100,00</v>
      </c>
      <c r="J1436" t="str">
        <f>"R$ 325,66"</f>
        <v>R$ 325,66</v>
      </c>
      <c r="K1436" t="str">
        <f>"R$ 774,34"</f>
        <v>R$ 774,34</v>
      </c>
    </row>
    <row r="1437" spans="1:11" x14ac:dyDescent="0.25">
      <c r="A1437" t="str">
        <f>"00004022 / 2"</f>
        <v>00004022 / 2</v>
      </c>
      <c r="B1437" t="str">
        <f>"13° Salário Anual"</f>
        <v>13° Salário Anual</v>
      </c>
      <c r="C1437" t="str">
        <f>"Maria Olinda Castro do Nascimento"</f>
        <v>Maria Olinda Castro do Nascimento</v>
      </c>
      <c r="D1437" t="str">
        <f>"PROP COMPULSORIA"</f>
        <v>PROP COMPULSORIA</v>
      </c>
      <c r="E1437" t="str">
        <f t="shared" ref="E1437:E1452" si="147">"Efetivo-Inativo I- RJUSM"</f>
        <v>Efetivo-Inativo I- RJUSM</v>
      </c>
      <c r="F1437" t="str">
        <f>"R$ 1.361,56"</f>
        <v>R$ 1.361,56</v>
      </c>
      <c r="G1437" t="str">
        <f>"R$ 1.361,56"</f>
        <v>R$ 1.361,56</v>
      </c>
      <c r="H1437" t="str">
        <f t="shared" si="137"/>
        <v>R$ 0,00</v>
      </c>
      <c r="I1437" t="str">
        <f>"R$ 1.361,56"</f>
        <v>R$ 1.361,56</v>
      </c>
      <c r="J1437" t="str">
        <f>"R$ 680,78"</f>
        <v>R$ 680,78</v>
      </c>
      <c r="K1437" t="str">
        <f>"R$ 680,78"</f>
        <v>R$ 680,78</v>
      </c>
    </row>
    <row r="1438" spans="1:11" x14ac:dyDescent="0.25">
      <c r="A1438" t="str">
        <f>"00004022 / 2"</f>
        <v>00004022 / 2</v>
      </c>
      <c r="B1438" t="str">
        <f>"Folha Mensal"</f>
        <v>Folha Mensal</v>
      </c>
      <c r="C1438" t="str">
        <f>"Maria Olinda Castro do Nascimento"</f>
        <v>Maria Olinda Castro do Nascimento</v>
      </c>
      <c r="D1438" t="str">
        <f>"PROP COMPULSORIA"</f>
        <v>PROP COMPULSORIA</v>
      </c>
      <c r="E1438" t="str">
        <f t="shared" si="147"/>
        <v>Efetivo-Inativo I- RJUSM</v>
      </c>
      <c r="F1438" t="str">
        <f>"R$ 1.361,56"</f>
        <v>R$ 1.361,56</v>
      </c>
      <c r="G1438" t="str">
        <f>"R$ 1.361,56"</f>
        <v>R$ 1.361,56</v>
      </c>
      <c r="H1438" t="str">
        <f t="shared" si="137"/>
        <v>R$ 0,00</v>
      </c>
      <c r="I1438" t="str">
        <f>"R$ 1.361,56"</f>
        <v>R$ 1.361,56</v>
      </c>
      <c r="J1438" t="str">
        <f>"R$ 0,00"</f>
        <v>R$ 0,00</v>
      </c>
      <c r="K1438" t="str">
        <f>"R$ 1.361,56"</f>
        <v>R$ 1.361,56</v>
      </c>
    </row>
    <row r="1439" spans="1:11" x14ac:dyDescent="0.25">
      <c r="A1439" t="str">
        <f>"00008044 / 1"</f>
        <v>00008044 / 1</v>
      </c>
      <c r="B1439" t="str">
        <f>"13° Salário Anual"</f>
        <v>13° Salário Anual</v>
      </c>
      <c r="C1439" t="str">
        <f>"Maria Perpetua da Costa Cantanhede"</f>
        <v>Maria Perpetua da Costa Cantanhede</v>
      </c>
      <c r="D1439" t="str">
        <f>"PROFESSOR"</f>
        <v>PROFESSOR</v>
      </c>
      <c r="E1439" t="str">
        <f t="shared" si="147"/>
        <v>Efetivo-Inativo I- RJUSM</v>
      </c>
      <c r="F1439" t="str">
        <f>"R$ 1.593,46"</f>
        <v>R$ 1.593,46</v>
      </c>
      <c r="G1439" t="str">
        <f>"R$ 1.991,82"</f>
        <v>R$ 1.991,82</v>
      </c>
      <c r="H1439" t="str">
        <f t="shared" si="137"/>
        <v>R$ 0,00</v>
      </c>
      <c r="I1439" t="str">
        <f>"R$ 1.991,82"</f>
        <v>R$ 1.991,82</v>
      </c>
      <c r="J1439" t="str">
        <f>"R$ 995,91"</f>
        <v>R$ 995,91</v>
      </c>
      <c r="K1439" t="str">
        <f>"R$ 995,91"</f>
        <v>R$ 995,91</v>
      </c>
    </row>
    <row r="1440" spans="1:11" x14ac:dyDescent="0.25">
      <c r="A1440" t="str">
        <f>"00008044 / 1"</f>
        <v>00008044 / 1</v>
      </c>
      <c r="B1440" t="str">
        <f>"Folha Mensal"</f>
        <v>Folha Mensal</v>
      </c>
      <c r="C1440" t="str">
        <f>"Maria Perpetua da Costa Cantanhede"</f>
        <v>Maria Perpetua da Costa Cantanhede</v>
      </c>
      <c r="D1440" t="str">
        <f>"PROFESSOR"</f>
        <v>PROFESSOR</v>
      </c>
      <c r="E1440" t="str">
        <f t="shared" si="147"/>
        <v>Efetivo-Inativo I- RJUSM</v>
      </c>
      <c r="F1440" t="str">
        <f>"R$ 1.593,46"</f>
        <v>R$ 1.593,46</v>
      </c>
      <c r="G1440" t="str">
        <f>"R$ 1.991,82"</f>
        <v>R$ 1.991,82</v>
      </c>
      <c r="H1440" t="str">
        <f t="shared" ref="H1440:H1503" si="148">"R$ 0,00"</f>
        <v>R$ 0,00</v>
      </c>
      <c r="I1440" t="str">
        <f>"R$ 1.991,82"</f>
        <v>R$ 1.991,82</v>
      </c>
      <c r="J1440" t="str">
        <f>"R$ 687,41"</f>
        <v>R$ 687,41</v>
      </c>
      <c r="K1440" t="str">
        <f>"R$ 1.304,41"</f>
        <v>R$ 1.304,41</v>
      </c>
    </row>
    <row r="1441" spans="1:11" x14ac:dyDescent="0.25">
      <c r="A1441" t="str">
        <f>"00006840 / 1"</f>
        <v>00006840 / 1</v>
      </c>
      <c r="B1441" t="str">
        <f>"13° Salário Anual"</f>
        <v>13° Salário Anual</v>
      </c>
      <c r="C1441" t="str">
        <f>"Maria Raimunda Cornelio Nascimento"</f>
        <v>Maria Raimunda Cornelio Nascimento</v>
      </c>
      <c r="D1441" t="str">
        <f>"PROP IDADE"</f>
        <v>PROP IDADE</v>
      </c>
      <c r="E1441" t="str">
        <f t="shared" si="147"/>
        <v>Efetivo-Inativo I- RJUSM</v>
      </c>
      <c r="F1441" t="str">
        <f>"R$ 1.100,00"</f>
        <v>R$ 1.100,00</v>
      </c>
      <c r="G1441" t="str">
        <f>"R$ 1.100,00"</f>
        <v>R$ 1.100,00</v>
      </c>
      <c r="H1441" t="str">
        <f t="shared" si="148"/>
        <v>R$ 0,00</v>
      </c>
      <c r="I1441" t="str">
        <f>"R$ 1.100,00"</f>
        <v>R$ 1.100,00</v>
      </c>
      <c r="J1441" t="str">
        <f>"R$ 550,00"</f>
        <v>R$ 550,00</v>
      </c>
      <c r="K1441" t="str">
        <f>"R$ 550,00"</f>
        <v>R$ 550,00</v>
      </c>
    </row>
    <row r="1442" spans="1:11" x14ac:dyDescent="0.25">
      <c r="A1442" t="str">
        <f>"00006840 / 1"</f>
        <v>00006840 / 1</v>
      </c>
      <c r="B1442" t="str">
        <f>"Folha Mensal"</f>
        <v>Folha Mensal</v>
      </c>
      <c r="C1442" t="str">
        <f>"Maria Raimunda Cornelio Nascimento"</f>
        <v>Maria Raimunda Cornelio Nascimento</v>
      </c>
      <c r="D1442" t="str">
        <f>"PROP IDADE"</f>
        <v>PROP IDADE</v>
      </c>
      <c r="E1442" t="str">
        <f t="shared" si="147"/>
        <v>Efetivo-Inativo I- RJUSM</v>
      </c>
      <c r="F1442" t="str">
        <f>"R$ 1.100,00"</f>
        <v>R$ 1.100,00</v>
      </c>
      <c r="G1442" t="str">
        <f>"R$ 1.100,00"</f>
        <v>R$ 1.100,00</v>
      </c>
      <c r="H1442" t="str">
        <f t="shared" si="148"/>
        <v>R$ 0,00</v>
      </c>
      <c r="I1442" t="str">
        <f>"R$ 1.100,00"</f>
        <v>R$ 1.100,00</v>
      </c>
      <c r="J1442" t="str">
        <f>"R$ 0,00"</f>
        <v>R$ 0,00</v>
      </c>
      <c r="K1442" t="str">
        <f>"R$ 1.100,00"</f>
        <v>R$ 1.100,00</v>
      </c>
    </row>
    <row r="1443" spans="1:11" x14ac:dyDescent="0.25">
      <c r="A1443" t="str">
        <f>"00028649 / 1"</f>
        <v>00028649 / 1</v>
      </c>
      <c r="B1443" t="str">
        <f>"13° Salário Anual"</f>
        <v>13° Salário Anual</v>
      </c>
      <c r="C1443" t="str">
        <f>"Maria Raimunda Costa Cordovil"</f>
        <v>Maria Raimunda Costa Cordovil</v>
      </c>
      <c r="D1443" t="str">
        <f>"PROFESSOR NIVEL III"</f>
        <v>PROFESSOR NIVEL III</v>
      </c>
      <c r="E1443" t="str">
        <f t="shared" si="147"/>
        <v>Efetivo-Inativo I- RJUSM</v>
      </c>
      <c r="F1443" t="str">
        <f>"R$ 3.351,85"</f>
        <v>R$ 3.351,85</v>
      </c>
      <c r="G1443" t="str">
        <f>"R$ 4.189,81"</f>
        <v>R$ 4.189,81</v>
      </c>
      <c r="H1443" t="str">
        <f t="shared" si="148"/>
        <v>R$ 0,00</v>
      </c>
      <c r="I1443" t="str">
        <f>"R$ 4.189,81"</f>
        <v>R$ 4.189,81</v>
      </c>
      <c r="J1443" t="str">
        <f>"R$ 2.123,53"</f>
        <v>R$ 2.123,53</v>
      </c>
      <c r="K1443" t="str">
        <f>"R$ 2.066,28"</f>
        <v>R$ 2.066,28</v>
      </c>
    </row>
    <row r="1444" spans="1:11" x14ac:dyDescent="0.25">
      <c r="A1444" t="str">
        <f>"00028649 / 1"</f>
        <v>00028649 / 1</v>
      </c>
      <c r="B1444" t="str">
        <f>"Folha Mensal"</f>
        <v>Folha Mensal</v>
      </c>
      <c r="C1444" t="str">
        <f>"Maria Raimunda Costa Cordovil"</f>
        <v>Maria Raimunda Costa Cordovil</v>
      </c>
      <c r="D1444" t="str">
        <f>"PROFESSOR NIVEL III"</f>
        <v>PROFESSOR NIVEL III</v>
      </c>
      <c r="E1444" t="str">
        <f t="shared" si="147"/>
        <v>Efetivo-Inativo I- RJUSM</v>
      </c>
      <c r="F1444" t="str">
        <f>"R$ 3.351,85"</f>
        <v>R$ 3.351,85</v>
      </c>
      <c r="G1444" t="str">
        <f>"R$ 4.189,81"</f>
        <v>R$ 4.189,81</v>
      </c>
      <c r="H1444" t="str">
        <f t="shared" si="148"/>
        <v>R$ 0,00</v>
      </c>
      <c r="I1444" t="str">
        <f>"R$ 4.189,81"</f>
        <v>R$ 4.189,81</v>
      </c>
      <c r="J1444" t="str">
        <f>"R$ 905,36"</f>
        <v>R$ 905,36</v>
      </c>
      <c r="K1444" t="str">
        <f>"R$ 3.284,45"</f>
        <v>R$ 3.284,45</v>
      </c>
    </row>
    <row r="1445" spans="1:11" x14ac:dyDescent="0.25">
      <c r="A1445" t="str">
        <f>"00024899 / 1"</f>
        <v>00024899 / 1</v>
      </c>
      <c r="B1445" t="str">
        <f>"13° Salário Anual"</f>
        <v>13° Salário Anual</v>
      </c>
      <c r="C1445" t="str">
        <f>"Maria Raimunda da Silva Oliveira"</f>
        <v>Maria Raimunda da Silva Oliveira</v>
      </c>
      <c r="D1445" t="str">
        <f t="shared" ref="D1445:D1450" si="149">"PROFESSOR"</f>
        <v>PROFESSOR</v>
      </c>
      <c r="E1445" t="str">
        <f t="shared" si="147"/>
        <v>Efetivo-Inativo I- RJUSM</v>
      </c>
      <c r="F1445" t="str">
        <f t="shared" ref="F1445:F1450" si="150">"R$ 1.593,46"</f>
        <v>R$ 1.593,46</v>
      </c>
      <c r="G1445" t="str">
        <f>"R$ 1.991,82"</f>
        <v>R$ 1.991,82</v>
      </c>
      <c r="H1445" t="str">
        <f t="shared" si="148"/>
        <v>R$ 0,00</v>
      </c>
      <c r="I1445" t="str">
        <f>"R$ 1.991,82"</f>
        <v>R$ 1.991,82</v>
      </c>
      <c r="J1445" t="str">
        <f>"R$ 995,91"</f>
        <v>R$ 995,91</v>
      </c>
      <c r="K1445" t="str">
        <f>"R$ 995,91"</f>
        <v>R$ 995,91</v>
      </c>
    </row>
    <row r="1446" spans="1:11" x14ac:dyDescent="0.25">
      <c r="A1446" t="str">
        <f>"00024899 / 1"</f>
        <v>00024899 / 1</v>
      </c>
      <c r="B1446" t="str">
        <f>"Folha Mensal"</f>
        <v>Folha Mensal</v>
      </c>
      <c r="C1446" t="str">
        <f>"Maria Raimunda da Silva Oliveira"</f>
        <v>Maria Raimunda da Silva Oliveira</v>
      </c>
      <c r="D1446" t="str">
        <f t="shared" si="149"/>
        <v>PROFESSOR</v>
      </c>
      <c r="E1446" t="str">
        <f t="shared" si="147"/>
        <v>Efetivo-Inativo I- RJUSM</v>
      </c>
      <c r="F1446" t="str">
        <f t="shared" si="150"/>
        <v>R$ 1.593,46</v>
      </c>
      <c r="G1446" t="str">
        <f>"R$ 1.991,82"</f>
        <v>R$ 1.991,82</v>
      </c>
      <c r="H1446" t="str">
        <f t="shared" si="148"/>
        <v>R$ 0,00</v>
      </c>
      <c r="I1446" t="str">
        <f>"R$ 1.991,82"</f>
        <v>R$ 1.991,82</v>
      </c>
      <c r="J1446" t="str">
        <f>"R$ 593,41"</f>
        <v>R$ 593,41</v>
      </c>
      <c r="K1446" t="str">
        <f>"R$ 1.398,41"</f>
        <v>R$ 1.398,41</v>
      </c>
    </row>
    <row r="1447" spans="1:11" x14ac:dyDescent="0.25">
      <c r="A1447" t="str">
        <f>"00007277 / 1"</f>
        <v>00007277 / 1</v>
      </c>
      <c r="B1447" t="str">
        <f>"13° Salário Anual"</f>
        <v>13° Salário Anual</v>
      </c>
      <c r="C1447" t="str">
        <f>"Maria Raimunda e Souza Mafra"</f>
        <v>Maria Raimunda e Souza Mafra</v>
      </c>
      <c r="D1447" t="str">
        <f t="shared" si="149"/>
        <v>PROFESSOR</v>
      </c>
      <c r="E1447" t="str">
        <f t="shared" si="147"/>
        <v>Efetivo-Inativo I- RJUSM</v>
      </c>
      <c r="F1447" t="str">
        <f t="shared" si="150"/>
        <v>R$ 1.593,46</v>
      </c>
      <c r="G1447" t="str">
        <f>"R$ 1.991,82"</f>
        <v>R$ 1.991,82</v>
      </c>
      <c r="H1447" t="str">
        <f t="shared" si="148"/>
        <v>R$ 0,00</v>
      </c>
      <c r="I1447" t="str">
        <f>"R$ 1.991,82"</f>
        <v>R$ 1.991,82</v>
      </c>
      <c r="J1447" t="str">
        <f>"R$ 995,91"</f>
        <v>R$ 995,91</v>
      </c>
      <c r="K1447" t="str">
        <f>"R$ 995,91"</f>
        <v>R$ 995,91</v>
      </c>
    </row>
    <row r="1448" spans="1:11" x14ac:dyDescent="0.25">
      <c r="A1448" t="str">
        <f>"00007277 / 1"</f>
        <v>00007277 / 1</v>
      </c>
      <c r="B1448" t="str">
        <f>"Folha Mensal"</f>
        <v>Folha Mensal</v>
      </c>
      <c r="C1448" t="str">
        <f>"Maria Raimunda e Souza Mafra"</f>
        <v>Maria Raimunda e Souza Mafra</v>
      </c>
      <c r="D1448" t="str">
        <f t="shared" si="149"/>
        <v>PROFESSOR</v>
      </c>
      <c r="E1448" t="str">
        <f t="shared" si="147"/>
        <v>Efetivo-Inativo I- RJUSM</v>
      </c>
      <c r="F1448" t="str">
        <f t="shared" si="150"/>
        <v>R$ 1.593,46</v>
      </c>
      <c r="G1448" t="str">
        <f>"R$ 1.991,82"</f>
        <v>R$ 1.991,82</v>
      </c>
      <c r="H1448" t="str">
        <f t="shared" si="148"/>
        <v>R$ 0,00</v>
      </c>
      <c r="I1448" t="str">
        <f>"R$ 1.991,82"</f>
        <v>R$ 1.991,82</v>
      </c>
      <c r="J1448" t="str">
        <f>"R$ 0,00"</f>
        <v>R$ 0,00</v>
      </c>
      <c r="K1448" t="str">
        <f>"R$ 1.991,82"</f>
        <v>R$ 1.991,82</v>
      </c>
    </row>
    <row r="1449" spans="1:11" x14ac:dyDescent="0.25">
      <c r="A1449" t="str">
        <f>"00006513 / 1"</f>
        <v>00006513 / 1</v>
      </c>
      <c r="B1449" t="str">
        <f>"13° Salário Anual"</f>
        <v>13° Salário Anual</v>
      </c>
      <c r="C1449" t="str">
        <f>"Maria Raimunda Gomes Soares"</f>
        <v>Maria Raimunda Gomes Soares</v>
      </c>
      <c r="D1449" t="str">
        <f t="shared" si="149"/>
        <v>PROFESSOR</v>
      </c>
      <c r="E1449" t="str">
        <f t="shared" si="147"/>
        <v>Efetivo-Inativo I- RJUSM</v>
      </c>
      <c r="F1449" t="str">
        <f t="shared" si="150"/>
        <v>R$ 1.593,46</v>
      </c>
      <c r="G1449" t="str">
        <f>"R$ 3.585,28"</f>
        <v>R$ 3.585,28</v>
      </c>
      <c r="H1449" t="str">
        <f t="shared" si="148"/>
        <v>R$ 0,00</v>
      </c>
      <c r="I1449" t="str">
        <f>"R$ 3.585,28"</f>
        <v>R$ 3.585,28</v>
      </c>
      <c r="J1449" t="str">
        <f>"R$ 1.792,64"</f>
        <v>R$ 1.792,64</v>
      </c>
      <c r="K1449" t="str">
        <f>"R$ 1.792,64"</f>
        <v>R$ 1.792,64</v>
      </c>
    </row>
    <row r="1450" spans="1:11" x14ac:dyDescent="0.25">
      <c r="A1450" t="str">
        <f>"00006513 / 1"</f>
        <v>00006513 / 1</v>
      </c>
      <c r="B1450" t="str">
        <f>"Folha Mensal"</f>
        <v>Folha Mensal</v>
      </c>
      <c r="C1450" t="str">
        <f>"Maria Raimunda Gomes Soares"</f>
        <v>Maria Raimunda Gomes Soares</v>
      </c>
      <c r="D1450" t="str">
        <f t="shared" si="149"/>
        <v>PROFESSOR</v>
      </c>
      <c r="E1450" t="str">
        <f t="shared" si="147"/>
        <v>Efetivo-Inativo I- RJUSM</v>
      </c>
      <c r="F1450" t="str">
        <f t="shared" si="150"/>
        <v>R$ 1.593,46</v>
      </c>
      <c r="G1450" t="str">
        <f>"R$ 3.585,28"</f>
        <v>R$ 3.585,28</v>
      </c>
      <c r="H1450" t="str">
        <f t="shared" si="148"/>
        <v>R$ 0,00</v>
      </c>
      <c r="I1450" t="str">
        <f>"R$ 3.585,28"</f>
        <v>R$ 3.585,28</v>
      </c>
      <c r="J1450" t="str">
        <f>"R$ 1.136,07"</f>
        <v>R$ 1.136,07</v>
      </c>
      <c r="K1450" t="str">
        <f>"R$ 2.449,21"</f>
        <v>R$ 2.449,21</v>
      </c>
    </row>
    <row r="1451" spans="1:11" x14ac:dyDescent="0.25">
      <c r="A1451" t="str">
        <f>"00015245 / 1"</f>
        <v>00015245 / 1</v>
      </c>
      <c r="B1451" t="str">
        <f>"13° Salário Anual"</f>
        <v>13° Salário Anual</v>
      </c>
      <c r="C1451" t="str">
        <f>"Maria Raimunda Rocha Miranda"</f>
        <v>Maria Raimunda Rocha Miranda</v>
      </c>
      <c r="D1451" t="str">
        <f>"PROFESSOR NIVEL II"</f>
        <v>PROFESSOR NIVEL II</v>
      </c>
      <c r="E1451" t="str">
        <f t="shared" si="147"/>
        <v>Efetivo-Inativo I- RJUSM</v>
      </c>
      <c r="F1451" t="str">
        <f>"R$ 4.605,14"</f>
        <v>R$ 4.605,14</v>
      </c>
      <c r="G1451" t="str">
        <f>"R$ 5.756,42"</f>
        <v>R$ 5.756,42</v>
      </c>
      <c r="H1451" t="str">
        <f t="shared" si="148"/>
        <v>R$ 0,00</v>
      </c>
      <c r="I1451" t="str">
        <f>"R$ 5.756,42"</f>
        <v>R$ 5.756,42</v>
      </c>
      <c r="J1451" t="str">
        <f>"R$ 2.878,21"</f>
        <v>R$ 2.878,21</v>
      </c>
      <c r="K1451" t="str">
        <f>"R$ 2.878,21"</f>
        <v>R$ 2.878,21</v>
      </c>
    </row>
    <row r="1452" spans="1:11" x14ac:dyDescent="0.25">
      <c r="A1452" t="str">
        <f>"00015245 / 1"</f>
        <v>00015245 / 1</v>
      </c>
      <c r="B1452" t="str">
        <f>"Folha Mensal"</f>
        <v>Folha Mensal</v>
      </c>
      <c r="C1452" t="str">
        <f>"Maria Raimunda Rocha Miranda"</f>
        <v>Maria Raimunda Rocha Miranda</v>
      </c>
      <c r="D1452" t="str">
        <f>"PROFESSOR NIVEL II"</f>
        <v>PROFESSOR NIVEL II</v>
      </c>
      <c r="E1452" t="str">
        <f t="shared" si="147"/>
        <v>Efetivo-Inativo I- RJUSM</v>
      </c>
      <c r="F1452" t="str">
        <f>"R$ 4.605,14"</f>
        <v>R$ 4.605,14</v>
      </c>
      <c r="G1452" t="str">
        <f>"R$ 5.756,42"</f>
        <v>R$ 5.756,42</v>
      </c>
      <c r="H1452" t="str">
        <f t="shared" si="148"/>
        <v>R$ 0,00</v>
      </c>
      <c r="I1452" t="str">
        <f>"R$ 5.756,42"</f>
        <v>R$ 5.756,42</v>
      </c>
      <c r="J1452" t="str">
        <f>"R$ 0,00"</f>
        <v>R$ 0,00</v>
      </c>
      <c r="K1452" t="str">
        <f>"R$ 5.756,42"</f>
        <v>R$ 5.756,42</v>
      </c>
    </row>
    <row r="1453" spans="1:11" x14ac:dyDescent="0.25">
      <c r="A1453" t="str">
        <f>"03641872 / 1"</f>
        <v>03641872 / 1</v>
      </c>
      <c r="B1453" t="str">
        <f>"13° Salário Anual"</f>
        <v>13° Salário Anual</v>
      </c>
      <c r="C1453" t="str">
        <f>"Maria Regina Alencar Silva Almeida"</f>
        <v>Maria Regina Alencar Silva Almeida</v>
      </c>
      <c r="D1453" t="str">
        <f>"PROFESSOR NIVEL I"</f>
        <v>PROFESSOR NIVEL I</v>
      </c>
      <c r="E1453" t="str">
        <f>"Efetivo-Inativos II-RJUSM"</f>
        <v>Efetivo-Inativos II-RJUSM</v>
      </c>
      <c r="F1453" t="str">
        <f>"R$ 3.848,25"</f>
        <v>R$ 3.848,25</v>
      </c>
      <c r="G1453" t="str">
        <f>"R$ 962,06"</f>
        <v>R$ 962,06</v>
      </c>
      <c r="H1453" t="str">
        <f t="shared" si="148"/>
        <v>R$ 0,00</v>
      </c>
      <c r="I1453" t="str">
        <f>"R$ 962,06"</f>
        <v>R$ 962,06</v>
      </c>
      <c r="J1453" t="str">
        <f>"R$ 0,00"</f>
        <v>R$ 0,00</v>
      </c>
      <c r="K1453" t="str">
        <f>"R$ 962,06"</f>
        <v>R$ 962,06</v>
      </c>
    </row>
    <row r="1454" spans="1:11" x14ac:dyDescent="0.25">
      <c r="A1454" t="str">
        <f>"03641872 / 1"</f>
        <v>03641872 / 1</v>
      </c>
      <c r="B1454" t="str">
        <f>"Folha Mensal"</f>
        <v>Folha Mensal</v>
      </c>
      <c r="C1454" t="str">
        <f>"Maria Regina Alencar Silva Almeida"</f>
        <v>Maria Regina Alencar Silva Almeida</v>
      </c>
      <c r="D1454" t="str">
        <f>"PROFESSOR NIVEL I"</f>
        <v>PROFESSOR NIVEL I</v>
      </c>
      <c r="E1454" t="str">
        <f>"Efetivo-Inativos II-RJUSM"</f>
        <v>Efetivo-Inativos II-RJUSM</v>
      </c>
      <c r="F1454" t="str">
        <f>"R$ 3.848,25"</f>
        <v>R$ 3.848,25</v>
      </c>
      <c r="G1454" t="str">
        <f>"R$ 3.848,25"</f>
        <v>R$ 3.848,25</v>
      </c>
      <c r="H1454" t="str">
        <f t="shared" si="148"/>
        <v>R$ 0,00</v>
      </c>
      <c r="I1454" t="str">
        <f>"R$ 3.848,25"</f>
        <v>R$ 3.848,25</v>
      </c>
      <c r="J1454" t="str">
        <f>"R$ 3,02"</f>
        <v>R$ 3,02</v>
      </c>
      <c r="K1454" t="str">
        <f>"R$ 3.845,23"</f>
        <v>R$ 3.845,23</v>
      </c>
    </row>
    <row r="1455" spans="1:11" x14ac:dyDescent="0.25">
      <c r="A1455" t="str">
        <f>"00024724 / 1"</f>
        <v>00024724 / 1</v>
      </c>
      <c r="B1455" t="str">
        <f>"13° Salário Anual"</f>
        <v>13° Salário Anual</v>
      </c>
      <c r="C1455" t="str">
        <f>"Maria Regina da Silva Dias"</f>
        <v>Maria Regina da Silva Dias</v>
      </c>
      <c r="D1455" t="str">
        <f>"PROFESSOR"</f>
        <v>PROFESSOR</v>
      </c>
      <c r="E1455" t="str">
        <f>"Efetivo-Inativo I- RJUSM"</f>
        <v>Efetivo-Inativo I- RJUSM</v>
      </c>
      <c r="F1455" t="str">
        <f>"R$ 1.593,46"</f>
        <v>R$ 1.593,46</v>
      </c>
      <c r="G1455" t="str">
        <f>"R$ 3.585,28"</f>
        <v>R$ 3.585,28</v>
      </c>
      <c r="H1455" t="str">
        <f t="shared" si="148"/>
        <v>R$ 0,00</v>
      </c>
      <c r="I1455" t="str">
        <f>"R$ 3.585,28"</f>
        <v>R$ 3.585,28</v>
      </c>
      <c r="J1455" t="str">
        <f>"R$ 1.792,64"</f>
        <v>R$ 1.792,64</v>
      </c>
      <c r="K1455" t="str">
        <f>"R$ 1.792,64"</f>
        <v>R$ 1.792,64</v>
      </c>
    </row>
    <row r="1456" spans="1:11" x14ac:dyDescent="0.25">
      <c r="A1456" t="str">
        <f>"00024724 / 1"</f>
        <v>00024724 / 1</v>
      </c>
      <c r="B1456" t="str">
        <f>"Folha Mensal"</f>
        <v>Folha Mensal</v>
      </c>
      <c r="C1456" t="str">
        <f>"Maria Regina da Silva Dias"</f>
        <v>Maria Regina da Silva Dias</v>
      </c>
      <c r="D1456" t="str">
        <f>"PROFESSOR"</f>
        <v>PROFESSOR</v>
      </c>
      <c r="E1456" t="str">
        <f>"Efetivo-Inativo I- RJUSM"</f>
        <v>Efetivo-Inativo I- RJUSM</v>
      </c>
      <c r="F1456" t="str">
        <f>"R$ 1.593,46"</f>
        <v>R$ 1.593,46</v>
      </c>
      <c r="G1456" t="str">
        <f>"R$ 3.585,28"</f>
        <v>R$ 3.585,28</v>
      </c>
      <c r="H1456" t="str">
        <f t="shared" si="148"/>
        <v>R$ 0,00</v>
      </c>
      <c r="I1456" t="str">
        <f>"R$ 3.585,28"</f>
        <v>R$ 3.585,28</v>
      </c>
      <c r="J1456" t="str">
        <f>"R$ 0,00"</f>
        <v>R$ 0,00</v>
      </c>
      <c r="K1456" t="str">
        <f>"R$ 3.585,28"</f>
        <v>R$ 3.585,28</v>
      </c>
    </row>
    <row r="1457" spans="1:11" x14ac:dyDescent="0.25">
      <c r="A1457" t="str">
        <f>"03642925 / 1"</f>
        <v>03642925 / 1</v>
      </c>
      <c r="B1457" t="str">
        <f>"13° Salário Anual"</f>
        <v>13° Salário Anual</v>
      </c>
      <c r="C1457" t="str">
        <f>"Maria Regina dos Santos Cardoso"</f>
        <v>Maria Regina dos Santos Cardoso</v>
      </c>
      <c r="D1457" t="str">
        <f>"PENSIONISTA"</f>
        <v>PENSIONISTA</v>
      </c>
      <c r="E1457" t="str">
        <f>"Pensionista"</f>
        <v>Pensionista</v>
      </c>
      <c r="F1457" t="str">
        <f>"R$ 1.100,00"</f>
        <v>R$ 1.100,00</v>
      </c>
      <c r="G1457" t="str">
        <f>"R$ 1.100,00"</f>
        <v>R$ 1.100,00</v>
      </c>
      <c r="H1457" t="str">
        <f t="shared" si="148"/>
        <v>R$ 0,00</v>
      </c>
      <c r="I1457" t="str">
        <f>"R$ 1.100,00"</f>
        <v>R$ 1.100,00</v>
      </c>
      <c r="J1457" t="str">
        <f>"R$ 550,00"</f>
        <v>R$ 550,00</v>
      </c>
      <c r="K1457" t="str">
        <f>"R$ 550,00"</f>
        <v>R$ 550,00</v>
      </c>
    </row>
    <row r="1458" spans="1:11" x14ac:dyDescent="0.25">
      <c r="A1458" t="str">
        <f>"03642925 / 1"</f>
        <v>03642925 / 1</v>
      </c>
      <c r="B1458" t="str">
        <f>"Folha Mensal"</f>
        <v>Folha Mensal</v>
      </c>
      <c r="C1458" t="str">
        <f>"Maria Regina dos Santos Cardoso"</f>
        <v>Maria Regina dos Santos Cardoso</v>
      </c>
      <c r="D1458" t="str">
        <f>"PENSIONISTA"</f>
        <v>PENSIONISTA</v>
      </c>
      <c r="E1458" t="str">
        <f>"Pensionista"</f>
        <v>Pensionista</v>
      </c>
      <c r="F1458" t="str">
        <f>"R$ 1.100,00"</f>
        <v>R$ 1.100,00</v>
      </c>
      <c r="G1458" t="str">
        <f>"R$ 1.100,00"</f>
        <v>R$ 1.100,00</v>
      </c>
      <c r="H1458" t="str">
        <f t="shared" si="148"/>
        <v>R$ 0,00</v>
      </c>
      <c r="I1458" t="str">
        <f>"R$ 1.100,00"</f>
        <v>R$ 1.100,00</v>
      </c>
      <c r="J1458" t="str">
        <f>"R$ 0,00"</f>
        <v>R$ 0,00</v>
      </c>
      <c r="K1458" t="str">
        <f>"R$ 1.100,00"</f>
        <v>R$ 1.100,00</v>
      </c>
    </row>
    <row r="1459" spans="1:11" x14ac:dyDescent="0.25">
      <c r="A1459" t="str">
        <f>"00001848 / 1"</f>
        <v>00001848 / 1</v>
      </c>
      <c r="B1459" t="str">
        <f>"13° Salário Anual"</f>
        <v>13° Salário Anual</v>
      </c>
      <c r="C1459" t="str">
        <f>"Maria Risoleide de Souza"</f>
        <v>Maria Risoleide de Souza</v>
      </c>
      <c r="D1459" t="str">
        <f>"PROFESSOR"</f>
        <v>PROFESSOR</v>
      </c>
      <c r="E1459" t="str">
        <f>"Efetivo-Inativo I- RJUSM"</f>
        <v>Efetivo-Inativo I- RJUSM</v>
      </c>
      <c r="F1459" t="str">
        <f>"R$ 1.593,46"</f>
        <v>R$ 1.593,46</v>
      </c>
      <c r="G1459" t="str">
        <f>"R$ 1.912,15"</f>
        <v>R$ 1.912,15</v>
      </c>
      <c r="H1459" t="str">
        <f t="shared" si="148"/>
        <v>R$ 0,00</v>
      </c>
      <c r="I1459" t="str">
        <f>"R$ 1.912,15"</f>
        <v>R$ 1.912,15</v>
      </c>
      <c r="J1459" t="str">
        <f>"R$ 956,07"</f>
        <v>R$ 956,07</v>
      </c>
      <c r="K1459" t="str">
        <f>"R$ 956,08"</f>
        <v>R$ 956,08</v>
      </c>
    </row>
    <row r="1460" spans="1:11" x14ac:dyDescent="0.25">
      <c r="A1460" t="str">
        <f>"00001848 / 1"</f>
        <v>00001848 / 1</v>
      </c>
      <c r="B1460" t="str">
        <f>"Folha Mensal"</f>
        <v>Folha Mensal</v>
      </c>
      <c r="C1460" t="str">
        <f>"Maria Risoleide de Souza"</f>
        <v>Maria Risoleide de Souza</v>
      </c>
      <c r="D1460" t="str">
        <f>"PROFESSOR"</f>
        <v>PROFESSOR</v>
      </c>
      <c r="E1460" t="str">
        <f>"Efetivo-Inativo I- RJUSM"</f>
        <v>Efetivo-Inativo I- RJUSM</v>
      </c>
      <c r="F1460" t="str">
        <f>"R$ 1.593,46"</f>
        <v>R$ 1.593,46</v>
      </c>
      <c r="G1460" t="str">
        <f>"R$ 1.912,15"</f>
        <v>R$ 1.912,15</v>
      </c>
      <c r="H1460" t="str">
        <f t="shared" si="148"/>
        <v>R$ 0,00</v>
      </c>
      <c r="I1460" t="str">
        <f>"R$ 1.912,15"</f>
        <v>R$ 1.912,15</v>
      </c>
      <c r="J1460" t="str">
        <f>"R$ 180,82"</f>
        <v>R$ 180,82</v>
      </c>
      <c r="K1460" t="str">
        <f>"R$ 1.731,33"</f>
        <v>R$ 1.731,33</v>
      </c>
    </row>
    <row r="1461" spans="1:11" x14ac:dyDescent="0.25">
      <c r="A1461" t="str">
        <f>"00003760 / 2"</f>
        <v>00003760 / 2</v>
      </c>
      <c r="B1461" t="str">
        <f>"13° Salário Anual"</f>
        <v>13° Salário Anual</v>
      </c>
      <c r="C1461" t="str">
        <f>"Maria Rita Begot de Azevedo"</f>
        <v>Maria Rita Begot de Azevedo</v>
      </c>
      <c r="D1461" t="str">
        <f>"INT TEMP CONTRIBUICAO"</f>
        <v>INT TEMP CONTRIBUICAO</v>
      </c>
      <c r="E1461" t="str">
        <f>"Efetivo-Inativo I- RJUSM"</f>
        <v>Efetivo-Inativo I- RJUSM</v>
      </c>
      <c r="F1461" t="str">
        <f>"R$ 1.031,51"</f>
        <v>R$ 1.031,51</v>
      </c>
      <c r="G1461" t="str">
        <f>"R$ 1.340,96"</f>
        <v>R$ 1.340,96</v>
      </c>
      <c r="H1461" t="str">
        <f t="shared" si="148"/>
        <v>R$ 0,00</v>
      </c>
      <c r="I1461" t="str">
        <f>"R$ 1.340,96"</f>
        <v>R$ 1.340,96</v>
      </c>
      <c r="J1461" t="str">
        <f>"R$ 670,48"</f>
        <v>R$ 670,48</v>
      </c>
      <c r="K1461" t="str">
        <f>"R$ 670,48"</f>
        <v>R$ 670,48</v>
      </c>
    </row>
    <row r="1462" spans="1:11" x14ac:dyDescent="0.25">
      <c r="A1462" t="str">
        <f>"00003760 / 2"</f>
        <v>00003760 / 2</v>
      </c>
      <c r="B1462" t="str">
        <f>"Folha Mensal"</f>
        <v>Folha Mensal</v>
      </c>
      <c r="C1462" t="str">
        <f>"Maria Rita Begot de Azevedo"</f>
        <v>Maria Rita Begot de Azevedo</v>
      </c>
      <c r="D1462" t="str">
        <f>"INT TEMP CONTRIBUICAO"</f>
        <v>INT TEMP CONTRIBUICAO</v>
      </c>
      <c r="E1462" t="str">
        <f>"Efetivo-Inativo I- RJUSM"</f>
        <v>Efetivo-Inativo I- RJUSM</v>
      </c>
      <c r="F1462" t="str">
        <f>"R$ 1.031,51"</f>
        <v>R$ 1.031,51</v>
      </c>
      <c r="G1462" t="str">
        <f>"R$ 1.340,96"</f>
        <v>R$ 1.340,96</v>
      </c>
      <c r="H1462" t="str">
        <f t="shared" si="148"/>
        <v>R$ 0,00</v>
      </c>
      <c r="I1462" t="str">
        <f>"R$ 1.340,96"</f>
        <v>R$ 1.340,96</v>
      </c>
      <c r="J1462" t="str">
        <f>"R$ 0,00"</f>
        <v>R$ 0,00</v>
      </c>
      <c r="K1462" t="str">
        <f>"R$ 1.340,96"</f>
        <v>R$ 1.340,96</v>
      </c>
    </row>
    <row r="1463" spans="1:11" x14ac:dyDescent="0.25">
      <c r="A1463" t="str">
        <f>"03641414 / 1"</f>
        <v>03641414 / 1</v>
      </c>
      <c r="B1463" t="str">
        <f>"13° Salário Anual"</f>
        <v>13° Salário Anual</v>
      </c>
      <c r="C1463" t="str">
        <f>"Maria Rodrigues Barbosa"</f>
        <v>Maria Rodrigues Barbosa</v>
      </c>
      <c r="D1463" t="str">
        <f>"DAS 07"</f>
        <v>DAS 07</v>
      </c>
      <c r="E1463" t="str">
        <f>"Comissionado"</f>
        <v>Comissionado</v>
      </c>
      <c r="F1463" t="str">
        <f>"R$ 3.154,55"</f>
        <v>R$ 3.154,55</v>
      </c>
      <c r="G1463" t="str">
        <f>"R$ 1.577,27"</f>
        <v>R$ 1.577,27</v>
      </c>
      <c r="H1463" t="str">
        <f t="shared" si="148"/>
        <v>R$ 0,00</v>
      </c>
      <c r="I1463" t="str">
        <f>"R$ 1.577,27"</f>
        <v>R$ 1.577,27</v>
      </c>
      <c r="J1463" t="str">
        <f>"R$ 914,08"</f>
        <v>R$ 914,08</v>
      </c>
      <c r="K1463" t="str">
        <f>"R$ 663,19"</f>
        <v>R$ 663,19</v>
      </c>
    </row>
    <row r="1464" spans="1:11" x14ac:dyDescent="0.25">
      <c r="A1464" t="str">
        <f>"03641414 / 1"</f>
        <v>03641414 / 1</v>
      </c>
      <c r="B1464" t="str">
        <f>"Folha Mensal"</f>
        <v>Folha Mensal</v>
      </c>
      <c r="C1464" t="str">
        <f>"Maria Rodrigues Barbosa"</f>
        <v>Maria Rodrigues Barbosa</v>
      </c>
      <c r="D1464" t="str">
        <f>"DAS 07"</f>
        <v>DAS 07</v>
      </c>
      <c r="E1464" t="str">
        <f>"Comissionado"</f>
        <v>Comissionado</v>
      </c>
      <c r="F1464" t="str">
        <f>"R$ 3.154,55"</f>
        <v>R$ 3.154,55</v>
      </c>
      <c r="G1464" t="str">
        <f>"R$ 3.154,55"</f>
        <v>R$ 3.154,55</v>
      </c>
      <c r="H1464" t="str">
        <f t="shared" si="148"/>
        <v>R$ 0,00</v>
      </c>
      <c r="I1464" t="str">
        <f>"R$ 3.154,55"</f>
        <v>R$ 3.154,55</v>
      </c>
      <c r="J1464" t="str">
        <f>"R$ 353,30"</f>
        <v>R$ 353,30</v>
      </c>
      <c r="K1464" t="str">
        <f>"R$ 2.801,25"</f>
        <v>R$ 2.801,25</v>
      </c>
    </row>
    <row r="1465" spans="1:11" x14ac:dyDescent="0.25">
      <c r="A1465" t="str">
        <f>"00018236 / 1"</f>
        <v>00018236 / 1</v>
      </c>
      <c r="B1465" t="str">
        <f>"13° Salário Anual"</f>
        <v>13° Salário Anual</v>
      </c>
      <c r="C1465" t="str">
        <f>"Maria Rodrigues da Silva Souza"</f>
        <v>Maria Rodrigues da Silva Souza</v>
      </c>
      <c r="D1465" t="str">
        <f>"PROP IDADE"</f>
        <v>PROP IDADE</v>
      </c>
      <c r="E1465" t="str">
        <f t="shared" ref="E1465:E1470" si="151">"Efetivo-Inativo I- RJUSM"</f>
        <v>Efetivo-Inativo I- RJUSM</v>
      </c>
      <c r="F1465" t="str">
        <f>"R$ 1.100,00"</f>
        <v>R$ 1.100,00</v>
      </c>
      <c r="G1465" t="str">
        <f>"R$ 1.210,00"</f>
        <v>R$ 1.210,00</v>
      </c>
      <c r="H1465" t="str">
        <f t="shared" si="148"/>
        <v>R$ 0,00</v>
      </c>
      <c r="I1465" t="str">
        <f>"R$ 1.210,00"</f>
        <v>R$ 1.210,00</v>
      </c>
      <c r="J1465" t="str">
        <f>"R$ 605,00"</f>
        <v>R$ 605,00</v>
      </c>
      <c r="K1465" t="str">
        <f>"R$ 605,00"</f>
        <v>R$ 605,00</v>
      </c>
    </row>
    <row r="1466" spans="1:11" x14ac:dyDescent="0.25">
      <c r="A1466" t="str">
        <f>"00018236 / 1"</f>
        <v>00018236 / 1</v>
      </c>
      <c r="B1466" t="str">
        <f>"Folha Mensal"</f>
        <v>Folha Mensal</v>
      </c>
      <c r="C1466" t="str">
        <f>"Maria Rodrigues da Silva Souza"</f>
        <v>Maria Rodrigues da Silva Souza</v>
      </c>
      <c r="D1466" t="str">
        <f>"PROP IDADE"</f>
        <v>PROP IDADE</v>
      </c>
      <c r="E1466" t="str">
        <f t="shared" si="151"/>
        <v>Efetivo-Inativo I- RJUSM</v>
      </c>
      <c r="F1466" t="str">
        <f>"R$ 1.100,00"</f>
        <v>R$ 1.100,00</v>
      </c>
      <c r="G1466" t="str">
        <f>"R$ 1.210,00"</f>
        <v>R$ 1.210,00</v>
      </c>
      <c r="H1466" t="str">
        <f t="shared" si="148"/>
        <v>R$ 0,00</v>
      </c>
      <c r="I1466" t="str">
        <f>"R$ 1.210,00"</f>
        <v>R$ 1.210,00</v>
      </c>
      <c r="J1466" t="str">
        <f>"R$ 0,00"</f>
        <v>R$ 0,00</v>
      </c>
      <c r="K1466" t="str">
        <f>"R$ 1.210,00"</f>
        <v>R$ 1.210,00</v>
      </c>
    </row>
    <row r="1467" spans="1:11" x14ac:dyDescent="0.25">
      <c r="A1467" t="str">
        <f>"00005126 / 1"</f>
        <v>00005126 / 1</v>
      </c>
      <c r="B1467" t="str">
        <f>"13° Salário Anual"</f>
        <v>13° Salário Anual</v>
      </c>
      <c r="C1467" t="str">
        <f>"Maria Rosa Gaspar da Conceicao"</f>
        <v>Maria Rosa Gaspar da Conceicao</v>
      </c>
      <c r="D1467" t="str">
        <f>"INT TEMP SERVICO"</f>
        <v>INT TEMP SERVICO</v>
      </c>
      <c r="E1467" t="str">
        <f t="shared" si="151"/>
        <v>Efetivo-Inativo I- RJUSM</v>
      </c>
      <c r="F1467" t="str">
        <f>"R$ 1.100,00"</f>
        <v>R$ 1.100,00</v>
      </c>
      <c r="G1467" t="str">
        <f>"R$ 1.430,00"</f>
        <v>R$ 1.430,00</v>
      </c>
      <c r="H1467" t="str">
        <f t="shared" si="148"/>
        <v>R$ 0,00</v>
      </c>
      <c r="I1467" t="str">
        <f>"R$ 1.430,00"</f>
        <v>R$ 1.430,00</v>
      </c>
      <c r="J1467" t="str">
        <f>"R$ 715,00"</f>
        <v>R$ 715,00</v>
      </c>
      <c r="K1467" t="str">
        <f>"R$ 715,00"</f>
        <v>R$ 715,00</v>
      </c>
    </row>
    <row r="1468" spans="1:11" x14ac:dyDescent="0.25">
      <c r="A1468" t="str">
        <f>"00005126 / 1"</f>
        <v>00005126 / 1</v>
      </c>
      <c r="B1468" t="str">
        <f>"Folha Mensal"</f>
        <v>Folha Mensal</v>
      </c>
      <c r="C1468" t="str">
        <f>"Maria Rosa Gaspar da Conceicao"</f>
        <v>Maria Rosa Gaspar da Conceicao</v>
      </c>
      <c r="D1468" t="str">
        <f>"INT TEMP SERVICO"</f>
        <v>INT TEMP SERVICO</v>
      </c>
      <c r="E1468" t="str">
        <f t="shared" si="151"/>
        <v>Efetivo-Inativo I- RJUSM</v>
      </c>
      <c r="F1468" t="str">
        <f>"R$ 1.100,00"</f>
        <v>R$ 1.100,00</v>
      </c>
      <c r="G1468" t="str">
        <f>"R$ 1.430,00"</f>
        <v>R$ 1.430,00</v>
      </c>
      <c r="H1468" t="str">
        <f t="shared" si="148"/>
        <v>R$ 0,00</v>
      </c>
      <c r="I1468" t="str">
        <f>"R$ 1.430,00"</f>
        <v>R$ 1.430,00</v>
      </c>
      <c r="J1468" t="str">
        <f>"R$ 0,00"</f>
        <v>R$ 0,00</v>
      </c>
      <c r="K1468" t="str">
        <f>"R$ 1.430,00"</f>
        <v>R$ 1.430,00</v>
      </c>
    </row>
    <row r="1469" spans="1:11" x14ac:dyDescent="0.25">
      <c r="A1469" t="str">
        <f>"00032700 / 1"</f>
        <v>00032700 / 1</v>
      </c>
      <c r="B1469" t="str">
        <f>"13° Salário Anual"</f>
        <v>13° Salário Anual</v>
      </c>
      <c r="C1469" t="str">
        <f>"Maria Rosalina de Souza"</f>
        <v>Maria Rosalina de Souza</v>
      </c>
      <c r="D1469" t="str">
        <f>"PROFESSOR"</f>
        <v>PROFESSOR</v>
      </c>
      <c r="E1469" t="str">
        <f t="shared" si="151"/>
        <v>Efetivo-Inativo I- RJUSM</v>
      </c>
      <c r="F1469" t="str">
        <f>"R$ 2.230,85"</f>
        <v>R$ 2.230,85</v>
      </c>
      <c r="G1469" t="str">
        <f>"R$ 2.900,10"</f>
        <v>R$ 2.900,10</v>
      </c>
      <c r="H1469" t="str">
        <f t="shared" si="148"/>
        <v>R$ 0,00</v>
      </c>
      <c r="I1469" t="str">
        <f>"R$ 2.900,10"</f>
        <v>R$ 2.900,10</v>
      </c>
      <c r="J1469" t="str">
        <f>"R$ 1.510,53"</f>
        <v>R$ 1.510,53</v>
      </c>
      <c r="K1469" t="str">
        <f>"R$ 1.389,57"</f>
        <v>R$ 1.389,57</v>
      </c>
    </row>
    <row r="1470" spans="1:11" x14ac:dyDescent="0.25">
      <c r="A1470" t="str">
        <f>"00032700 / 1"</f>
        <v>00032700 / 1</v>
      </c>
      <c r="B1470" t="str">
        <f>"Folha Mensal"</f>
        <v>Folha Mensal</v>
      </c>
      <c r="C1470" t="str">
        <f>"Maria Rosalina de Souza"</f>
        <v>Maria Rosalina de Souza</v>
      </c>
      <c r="D1470" t="str">
        <f>"PROFESSOR"</f>
        <v>PROFESSOR</v>
      </c>
      <c r="E1470" t="str">
        <f t="shared" si="151"/>
        <v>Efetivo-Inativo I- RJUSM</v>
      </c>
      <c r="F1470" t="str">
        <f>"R$ 2.230,85"</f>
        <v>R$ 2.230,85</v>
      </c>
      <c r="G1470" t="str">
        <f>"R$ 2.900,10"</f>
        <v>R$ 2.900,10</v>
      </c>
      <c r="H1470" t="str">
        <f t="shared" si="148"/>
        <v>R$ 0,00</v>
      </c>
      <c r="I1470" t="str">
        <f>"R$ 2.900,10"</f>
        <v>R$ 2.900,10</v>
      </c>
      <c r="J1470" t="str">
        <f>"R$ 820,35"</f>
        <v>R$ 820,35</v>
      </c>
      <c r="K1470" t="str">
        <f>"R$ 2.079,75"</f>
        <v>R$ 2.079,75</v>
      </c>
    </row>
    <row r="1471" spans="1:11" x14ac:dyDescent="0.25">
      <c r="A1471" t="str">
        <f>"00005932 / 1"</f>
        <v>00005932 / 1</v>
      </c>
      <c r="B1471" t="str">
        <f>"13° Salário Anual"</f>
        <v>13° Salário Anual</v>
      </c>
      <c r="C1471" t="str">
        <f>"Maria Rosemary Amim da Rocha"</f>
        <v>Maria Rosemary Amim da Rocha</v>
      </c>
      <c r="D1471" t="str">
        <f>"PROFESSOR NIVEL I"</f>
        <v>PROFESSOR NIVEL I</v>
      </c>
      <c r="E1471" t="str">
        <f>"Efetivo-Inativos II-RJUSM"</f>
        <v>Efetivo-Inativos II-RJUSM</v>
      </c>
      <c r="F1471" t="str">
        <f>"R$ 2.390,21"</f>
        <v>R$ 2.390,21</v>
      </c>
      <c r="G1471" t="str">
        <f>"R$ 3.107,27"</f>
        <v>R$ 3.107,27</v>
      </c>
      <c r="H1471" t="str">
        <f t="shared" si="148"/>
        <v>R$ 0,00</v>
      </c>
      <c r="I1471" t="str">
        <f>"R$ 3.107,27"</f>
        <v>R$ 3.107,27</v>
      </c>
      <c r="J1471" t="str">
        <f>"R$ 1.664,92"</f>
        <v>R$ 1.664,92</v>
      </c>
      <c r="K1471" t="str">
        <f>"R$ 1.442,35"</f>
        <v>R$ 1.442,35</v>
      </c>
    </row>
    <row r="1472" spans="1:11" x14ac:dyDescent="0.25">
      <c r="A1472" t="str">
        <f>"00005932 / 1"</f>
        <v>00005932 / 1</v>
      </c>
      <c r="B1472" t="str">
        <f>"Folha Mensal"</f>
        <v>Folha Mensal</v>
      </c>
      <c r="C1472" t="str">
        <f>"Maria Rosemary Amim da Rocha"</f>
        <v>Maria Rosemary Amim da Rocha</v>
      </c>
      <c r="D1472" t="str">
        <f>"PROFESSOR NIVEL I"</f>
        <v>PROFESSOR NIVEL I</v>
      </c>
      <c r="E1472" t="str">
        <f>"Efetivo-Inativos II-RJUSM"</f>
        <v>Efetivo-Inativos II-RJUSM</v>
      </c>
      <c r="F1472" t="str">
        <f>"R$ 2.390,21"</f>
        <v>R$ 2.390,21</v>
      </c>
      <c r="G1472" t="str">
        <f>"R$ 3.107,27"</f>
        <v>R$ 3.107,27</v>
      </c>
      <c r="H1472" t="str">
        <f t="shared" si="148"/>
        <v>R$ 0,00</v>
      </c>
      <c r="I1472" t="str">
        <f>"R$ 3.107,27"</f>
        <v>R$ 3.107,27</v>
      </c>
      <c r="J1472" t="str">
        <f>"R$ 111,29"</f>
        <v>R$ 111,29</v>
      </c>
      <c r="K1472" t="str">
        <f>"R$ 2.995,98"</f>
        <v>R$ 2.995,98</v>
      </c>
    </row>
    <row r="1473" spans="1:11" x14ac:dyDescent="0.25">
      <c r="A1473" t="str">
        <f>"00027936 / 2"</f>
        <v>00027936 / 2</v>
      </c>
      <c r="B1473" t="str">
        <f>"13° Salário Anual"</f>
        <v>13° Salário Anual</v>
      </c>
      <c r="C1473" t="str">
        <f>"Maria Saleth dos Santos Moutinho"</f>
        <v>Maria Saleth dos Santos Moutinho</v>
      </c>
      <c r="D1473" t="str">
        <f>"PROFESSOR NIVEL III"</f>
        <v>PROFESSOR NIVEL III</v>
      </c>
      <c r="E1473" t="str">
        <f>"Efetivo-Inativo I- RJUSM"</f>
        <v>Efetivo-Inativo I- RJUSM</v>
      </c>
      <c r="F1473" t="str">
        <f>"R$ 3.792,45"</f>
        <v>R$ 3.792,45</v>
      </c>
      <c r="G1473" t="str">
        <f>"R$ 4.740,56"</f>
        <v>R$ 4.740,56</v>
      </c>
      <c r="H1473" t="str">
        <f t="shared" si="148"/>
        <v>R$ 0,00</v>
      </c>
      <c r="I1473" t="str">
        <f>"R$ 4.740,56"</f>
        <v>R$ 4.740,56</v>
      </c>
      <c r="J1473" t="str">
        <f>"R$ 2.370,28"</f>
        <v>R$ 2.370,28</v>
      </c>
      <c r="K1473" t="str">
        <f>"R$ 2.370,28"</f>
        <v>R$ 2.370,28</v>
      </c>
    </row>
    <row r="1474" spans="1:11" x14ac:dyDescent="0.25">
      <c r="A1474" t="str">
        <f>"00027936 / 2"</f>
        <v>00027936 / 2</v>
      </c>
      <c r="B1474" t="str">
        <f>"Folha Mensal"</f>
        <v>Folha Mensal</v>
      </c>
      <c r="C1474" t="str">
        <f>"Maria Saleth dos Santos Moutinho"</f>
        <v>Maria Saleth dos Santos Moutinho</v>
      </c>
      <c r="D1474" t="str">
        <f>"PROFESSOR NIVEL III"</f>
        <v>PROFESSOR NIVEL III</v>
      </c>
      <c r="E1474" t="str">
        <f>"Efetivo-Inativo I- RJUSM"</f>
        <v>Efetivo-Inativo I- RJUSM</v>
      </c>
      <c r="F1474" t="str">
        <f>"R$ 3.792,45"</f>
        <v>R$ 3.792,45</v>
      </c>
      <c r="G1474" t="str">
        <f>"R$ 4.740,56"</f>
        <v>R$ 4.740,56</v>
      </c>
      <c r="H1474" t="str">
        <f t="shared" si="148"/>
        <v>R$ 0,00</v>
      </c>
      <c r="I1474" t="str">
        <f>"R$ 4.740,56"</f>
        <v>R$ 4.740,56</v>
      </c>
      <c r="J1474" t="str">
        <f>"R$ 716,09"</f>
        <v>R$ 716,09</v>
      </c>
      <c r="K1474" t="str">
        <f>"R$ 4.024,47"</f>
        <v>R$ 4.024,47</v>
      </c>
    </row>
    <row r="1475" spans="1:11" x14ac:dyDescent="0.25">
      <c r="A1475" t="str">
        <f>"03640914 / 1"</f>
        <v>03640914 / 1</v>
      </c>
      <c r="B1475" t="str">
        <f>"13° Salário Anual"</f>
        <v>13° Salário Anual</v>
      </c>
      <c r="C1475" t="str">
        <f>"Maria Sarah Sarmento Porto"</f>
        <v>Maria Sarah Sarmento Porto</v>
      </c>
      <c r="D1475" t="str">
        <f>"PENSIONISTA"</f>
        <v>PENSIONISTA</v>
      </c>
      <c r="E1475" t="str">
        <f>"Pensionista"</f>
        <v>Pensionista</v>
      </c>
      <c r="F1475" t="str">
        <f>"R$ 1.583,85"</f>
        <v>R$ 1.583,85</v>
      </c>
      <c r="G1475" t="str">
        <f>"R$ 1.583,85"</f>
        <v>R$ 1.583,85</v>
      </c>
      <c r="H1475" t="str">
        <f t="shared" si="148"/>
        <v>R$ 0,00</v>
      </c>
      <c r="I1475" t="str">
        <f>"R$ 1.583,85"</f>
        <v>R$ 1.583,85</v>
      </c>
      <c r="J1475" t="str">
        <f>"R$ 791,92"</f>
        <v>R$ 791,92</v>
      </c>
      <c r="K1475" t="str">
        <f>"R$ 791,93"</f>
        <v>R$ 791,93</v>
      </c>
    </row>
    <row r="1476" spans="1:11" x14ac:dyDescent="0.25">
      <c r="A1476" t="str">
        <f>"03640914 / 1"</f>
        <v>03640914 / 1</v>
      </c>
      <c r="B1476" t="str">
        <f>"Folha Mensal"</f>
        <v>Folha Mensal</v>
      </c>
      <c r="C1476" t="str">
        <f>"Maria Sarah Sarmento Porto"</f>
        <v>Maria Sarah Sarmento Porto</v>
      </c>
      <c r="D1476" t="str">
        <f>"PENSIONISTA"</f>
        <v>PENSIONISTA</v>
      </c>
      <c r="E1476" t="str">
        <f>"Pensionista"</f>
        <v>Pensionista</v>
      </c>
      <c r="F1476" t="str">
        <f>"R$ 1.583,85"</f>
        <v>R$ 1.583,85</v>
      </c>
      <c r="G1476" t="str">
        <f>"R$ 1.583,85"</f>
        <v>R$ 1.583,85</v>
      </c>
      <c r="H1476" t="str">
        <f t="shared" si="148"/>
        <v>R$ 0,00</v>
      </c>
      <c r="I1476" t="str">
        <f>"R$ 1.583,85"</f>
        <v>R$ 1.583,85</v>
      </c>
      <c r="J1476" t="str">
        <f>"R$ 0,00"</f>
        <v>R$ 0,00</v>
      </c>
      <c r="K1476" t="str">
        <f>"R$ 1.583,85"</f>
        <v>R$ 1.583,85</v>
      </c>
    </row>
    <row r="1477" spans="1:11" x14ac:dyDescent="0.25">
      <c r="A1477" t="str">
        <f>"00000280 / 1"</f>
        <v>00000280 / 1</v>
      </c>
      <c r="B1477" t="str">
        <f>"13° Salário Anual"</f>
        <v>13° Salário Anual</v>
      </c>
      <c r="C1477" t="str">
        <f>"Maria Sebastiana Cordovil da Silva"</f>
        <v>Maria Sebastiana Cordovil da Silva</v>
      </c>
      <c r="D1477" t="str">
        <f>"PROP IDADE"</f>
        <v>PROP IDADE</v>
      </c>
      <c r="E1477" t="str">
        <f t="shared" ref="E1477:E1482" si="152">"Efetivo-Inativo I- RJUSM"</f>
        <v>Efetivo-Inativo I- RJUSM</v>
      </c>
      <c r="F1477" t="str">
        <f>"R$ 1.100,00"</f>
        <v>R$ 1.100,00</v>
      </c>
      <c r="G1477" t="str">
        <f>"R$ 1.100,00"</f>
        <v>R$ 1.100,00</v>
      </c>
      <c r="H1477" t="str">
        <f t="shared" si="148"/>
        <v>R$ 0,00</v>
      </c>
      <c r="I1477" t="str">
        <f>"R$ 1.100,00"</f>
        <v>R$ 1.100,00</v>
      </c>
      <c r="J1477" t="str">
        <f>"R$ 550,00"</f>
        <v>R$ 550,00</v>
      </c>
      <c r="K1477" t="str">
        <f>"R$ 550,00"</f>
        <v>R$ 550,00</v>
      </c>
    </row>
    <row r="1478" spans="1:11" x14ac:dyDescent="0.25">
      <c r="A1478" t="str">
        <f>"00000280 / 1"</f>
        <v>00000280 / 1</v>
      </c>
      <c r="B1478" t="str">
        <f>"Folha Mensal"</f>
        <v>Folha Mensal</v>
      </c>
      <c r="C1478" t="str">
        <f>"Maria Sebastiana Cordovil da Silva"</f>
        <v>Maria Sebastiana Cordovil da Silva</v>
      </c>
      <c r="D1478" t="str">
        <f>"PROP IDADE"</f>
        <v>PROP IDADE</v>
      </c>
      <c r="E1478" t="str">
        <f t="shared" si="152"/>
        <v>Efetivo-Inativo I- RJUSM</v>
      </c>
      <c r="F1478" t="str">
        <f>"R$ 1.100,00"</f>
        <v>R$ 1.100,00</v>
      </c>
      <c r="G1478" t="str">
        <f>"R$ 1.100,00"</f>
        <v>R$ 1.100,00</v>
      </c>
      <c r="H1478" t="str">
        <f t="shared" si="148"/>
        <v>R$ 0,00</v>
      </c>
      <c r="I1478" t="str">
        <f>"R$ 1.100,00"</f>
        <v>R$ 1.100,00</v>
      </c>
      <c r="J1478" t="str">
        <f>"R$ 256,23"</f>
        <v>R$ 256,23</v>
      </c>
      <c r="K1478" t="str">
        <f>"R$ 843,77"</f>
        <v>R$ 843,77</v>
      </c>
    </row>
    <row r="1479" spans="1:11" x14ac:dyDescent="0.25">
      <c r="A1479" t="str">
        <f>"00025356 / 1"</f>
        <v>00025356 / 1</v>
      </c>
      <c r="B1479" t="str">
        <f>"13° Salário Anual"</f>
        <v>13° Salário Anual</v>
      </c>
      <c r="C1479" t="str">
        <f>"Maria Silvanira de Azevedo da Silva"</f>
        <v>Maria Silvanira de Azevedo da Silva</v>
      </c>
      <c r="D1479" t="str">
        <f>"PROFESSOR"</f>
        <v>PROFESSOR</v>
      </c>
      <c r="E1479" t="str">
        <f t="shared" si="152"/>
        <v>Efetivo-Inativo I- RJUSM</v>
      </c>
      <c r="F1479" t="str">
        <f>"R$ 1.593,46"</f>
        <v>R$ 1.593,46</v>
      </c>
      <c r="G1479" t="str">
        <f>"R$ 1.991,82"</f>
        <v>R$ 1.991,82</v>
      </c>
      <c r="H1479" t="str">
        <f t="shared" si="148"/>
        <v>R$ 0,00</v>
      </c>
      <c r="I1479" t="str">
        <f>"R$ 1.991,82"</f>
        <v>R$ 1.991,82</v>
      </c>
      <c r="J1479" t="str">
        <f>"R$ 995,91"</f>
        <v>R$ 995,91</v>
      </c>
      <c r="K1479" t="str">
        <f>"R$ 995,91"</f>
        <v>R$ 995,91</v>
      </c>
    </row>
    <row r="1480" spans="1:11" x14ac:dyDescent="0.25">
      <c r="A1480" t="str">
        <f>"00025356 / 1"</f>
        <v>00025356 / 1</v>
      </c>
      <c r="B1480" t="str">
        <f>"Folha Mensal"</f>
        <v>Folha Mensal</v>
      </c>
      <c r="C1480" t="str">
        <f>"Maria Silvanira de Azevedo da Silva"</f>
        <v>Maria Silvanira de Azevedo da Silva</v>
      </c>
      <c r="D1480" t="str">
        <f>"PROFESSOR"</f>
        <v>PROFESSOR</v>
      </c>
      <c r="E1480" t="str">
        <f t="shared" si="152"/>
        <v>Efetivo-Inativo I- RJUSM</v>
      </c>
      <c r="F1480" t="str">
        <f>"R$ 1.593,46"</f>
        <v>R$ 1.593,46</v>
      </c>
      <c r="G1480" t="str">
        <f>"R$ 1.991,82"</f>
        <v>R$ 1.991,82</v>
      </c>
      <c r="H1480" t="str">
        <f t="shared" si="148"/>
        <v>R$ 0,00</v>
      </c>
      <c r="I1480" t="str">
        <f>"R$ 1.991,82"</f>
        <v>R$ 1.991,82</v>
      </c>
      <c r="J1480" t="str">
        <f>"R$ 0,00"</f>
        <v>R$ 0,00</v>
      </c>
      <c r="K1480" t="str">
        <f>"R$ 1.991,82"</f>
        <v>R$ 1.991,82</v>
      </c>
    </row>
    <row r="1481" spans="1:11" x14ac:dyDescent="0.25">
      <c r="A1481" t="str">
        <f>"00007269 / 2"</f>
        <v>00007269 / 2</v>
      </c>
      <c r="B1481" t="str">
        <f>"13° Salário Anual"</f>
        <v>13° Salário Anual</v>
      </c>
      <c r="C1481" t="str">
        <f>"Maria Silvete de Sousa Ribeiro"</f>
        <v>Maria Silvete de Sousa Ribeiro</v>
      </c>
      <c r="D1481" t="str">
        <f>"PROFESSOR"</f>
        <v>PROFESSOR</v>
      </c>
      <c r="E1481" t="str">
        <f t="shared" si="152"/>
        <v>Efetivo-Inativo I- RJUSM</v>
      </c>
      <c r="F1481" t="str">
        <f>"R$ 1.593,46"</f>
        <v>R$ 1.593,46</v>
      </c>
      <c r="G1481" t="str">
        <f>"R$ 2.071,49"</f>
        <v>R$ 2.071,49</v>
      </c>
      <c r="H1481" t="str">
        <f t="shared" si="148"/>
        <v>R$ 0,00</v>
      </c>
      <c r="I1481" t="str">
        <f>"R$ 2.071,49"</f>
        <v>R$ 2.071,49</v>
      </c>
      <c r="J1481" t="str">
        <f>"R$ 1.048,30"</f>
        <v>R$ 1.048,30</v>
      </c>
      <c r="K1481" t="str">
        <f>"R$ 1.023,19"</f>
        <v>R$ 1.023,19</v>
      </c>
    </row>
    <row r="1482" spans="1:11" x14ac:dyDescent="0.25">
      <c r="A1482" t="str">
        <f>"00007269 / 2"</f>
        <v>00007269 / 2</v>
      </c>
      <c r="B1482" t="str">
        <f>"Folha Mensal"</f>
        <v>Folha Mensal</v>
      </c>
      <c r="C1482" t="str">
        <f>"Maria Silvete de Sousa Ribeiro"</f>
        <v>Maria Silvete de Sousa Ribeiro</v>
      </c>
      <c r="D1482" t="str">
        <f>"PROFESSOR"</f>
        <v>PROFESSOR</v>
      </c>
      <c r="E1482" t="str">
        <f t="shared" si="152"/>
        <v>Efetivo-Inativo I- RJUSM</v>
      </c>
      <c r="F1482" t="str">
        <f>"R$ 1.593,46"</f>
        <v>R$ 1.593,46</v>
      </c>
      <c r="G1482" t="str">
        <f>"R$ 2.071,49"</f>
        <v>R$ 2.071,49</v>
      </c>
      <c r="H1482" t="str">
        <f t="shared" si="148"/>
        <v>R$ 0,00</v>
      </c>
      <c r="I1482" t="str">
        <f>"R$ 2.071,49"</f>
        <v>R$ 2.071,49</v>
      </c>
      <c r="J1482" t="str">
        <f>"R$ 519,74"</f>
        <v>R$ 519,74</v>
      </c>
      <c r="K1482" t="str">
        <f>"R$ 1.551,75"</f>
        <v>R$ 1.551,75</v>
      </c>
    </row>
    <row r="1483" spans="1:11" x14ac:dyDescent="0.25">
      <c r="A1483" t="str">
        <f>"00190128 / 2"</f>
        <v>00190128 / 2</v>
      </c>
      <c r="B1483" t="str">
        <f>"13° Salário Anual"</f>
        <v>13° Salário Anual</v>
      </c>
      <c r="C1483" t="str">
        <f>"Maria Socorro Borges Correa da Silva"</f>
        <v>Maria Socorro Borges Correa da Silva</v>
      </c>
      <c r="D1483" t="str">
        <f>"PROFESSOR NIVEL II"</f>
        <v>PROFESSOR NIVEL II</v>
      </c>
      <c r="E1483" t="str">
        <f>"Efetivo-Inativos II-RJUSM"</f>
        <v>Efetivo-Inativos II-RJUSM</v>
      </c>
      <c r="F1483" t="str">
        <f>"R$ 5.258,43"</f>
        <v>R$ 5.258,43</v>
      </c>
      <c r="G1483" t="str">
        <f>"R$ 6.310,11"</f>
        <v>R$ 6.310,11</v>
      </c>
      <c r="H1483" t="str">
        <f t="shared" si="148"/>
        <v>R$ 0,00</v>
      </c>
      <c r="I1483" t="str">
        <f>"R$ 6.310,11"</f>
        <v>R$ 6.310,11</v>
      </c>
      <c r="J1483" t="str">
        <f>"R$ 3.990,04"</f>
        <v>R$ 3.990,04</v>
      </c>
      <c r="K1483" t="str">
        <f>"R$ 2.320,07"</f>
        <v>R$ 2.320,07</v>
      </c>
    </row>
    <row r="1484" spans="1:11" x14ac:dyDescent="0.25">
      <c r="A1484" t="str">
        <f>"00190128 / 2"</f>
        <v>00190128 / 2</v>
      </c>
      <c r="B1484" t="str">
        <f>"Folha Mensal"</f>
        <v>Folha Mensal</v>
      </c>
      <c r="C1484" t="str">
        <f>"Maria Socorro Borges Correa da Silva"</f>
        <v>Maria Socorro Borges Correa da Silva</v>
      </c>
      <c r="D1484" t="str">
        <f>"PROFESSOR NIVEL II"</f>
        <v>PROFESSOR NIVEL II</v>
      </c>
      <c r="E1484" t="str">
        <f>"Efetivo-Inativos II-RJUSM"</f>
        <v>Efetivo-Inativos II-RJUSM</v>
      </c>
      <c r="F1484" t="str">
        <f>"R$ 5.258,43"</f>
        <v>R$ 5.258,43</v>
      </c>
      <c r="G1484" t="str">
        <f>"R$ 6.310,11"</f>
        <v>R$ 6.310,11</v>
      </c>
      <c r="H1484" t="str">
        <f t="shared" si="148"/>
        <v>R$ 0,00</v>
      </c>
      <c r="I1484" t="str">
        <f>"R$ 6.310,11"</f>
        <v>R$ 6.310,11</v>
      </c>
      <c r="J1484" t="str">
        <f>"R$ 2.559,89"</f>
        <v>R$ 2.559,89</v>
      </c>
      <c r="K1484" t="str">
        <f>"R$ 3.750,22"</f>
        <v>R$ 3.750,22</v>
      </c>
    </row>
    <row r="1485" spans="1:11" x14ac:dyDescent="0.25">
      <c r="A1485" t="str">
        <f>"03642933 / 1"</f>
        <v>03642933 / 1</v>
      </c>
      <c r="B1485" t="str">
        <f>"13° Salário Anual"</f>
        <v>13° Salário Anual</v>
      </c>
      <c r="C1485" t="str">
        <f>"Maria Souza da Silva"</f>
        <v>Maria Souza da Silva</v>
      </c>
      <c r="D1485" t="str">
        <f>"PENSIONISTA"</f>
        <v>PENSIONISTA</v>
      </c>
      <c r="E1485" t="str">
        <f>"Pensionista"</f>
        <v>Pensionista</v>
      </c>
      <c r="F1485" t="str">
        <f>"R$ 1.100,00"</f>
        <v>R$ 1.100,00</v>
      </c>
      <c r="G1485" t="str">
        <f>"R$ 1.100,00"</f>
        <v>R$ 1.100,00</v>
      </c>
      <c r="H1485" t="str">
        <f t="shared" si="148"/>
        <v>R$ 0,00</v>
      </c>
      <c r="I1485" t="str">
        <f>"R$ 1.100,00"</f>
        <v>R$ 1.100,00</v>
      </c>
      <c r="J1485" t="str">
        <f>"R$ 550,00"</f>
        <v>R$ 550,00</v>
      </c>
      <c r="K1485" t="str">
        <f>"R$ 550,00"</f>
        <v>R$ 550,00</v>
      </c>
    </row>
    <row r="1486" spans="1:11" x14ac:dyDescent="0.25">
      <c r="A1486" t="str">
        <f>"03642933 / 1"</f>
        <v>03642933 / 1</v>
      </c>
      <c r="B1486" t="str">
        <f>"Folha Mensal"</f>
        <v>Folha Mensal</v>
      </c>
      <c r="C1486" t="str">
        <f>"Maria Souza da Silva"</f>
        <v>Maria Souza da Silva</v>
      </c>
      <c r="D1486" t="str">
        <f>"PENSIONISTA"</f>
        <v>PENSIONISTA</v>
      </c>
      <c r="E1486" t="str">
        <f>"Pensionista"</f>
        <v>Pensionista</v>
      </c>
      <c r="F1486" t="str">
        <f>"R$ 1.100,00"</f>
        <v>R$ 1.100,00</v>
      </c>
      <c r="G1486" t="str">
        <f>"R$ 1.100,00"</f>
        <v>R$ 1.100,00</v>
      </c>
      <c r="H1486" t="str">
        <f t="shared" si="148"/>
        <v>R$ 0,00</v>
      </c>
      <c r="I1486" t="str">
        <f>"R$ 1.100,00"</f>
        <v>R$ 1.100,00</v>
      </c>
      <c r="J1486" t="str">
        <f>"R$ 0,00"</f>
        <v>R$ 0,00</v>
      </c>
      <c r="K1486" t="str">
        <f>"R$ 1.100,00"</f>
        <v>R$ 1.100,00</v>
      </c>
    </row>
    <row r="1487" spans="1:11" x14ac:dyDescent="0.25">
      <c r="A1487" t="str">
        <f>"00010138 / 1"</f>
        <v>00010138 / 1</v>
      </c>
      <c r="B1487" t="str">
        <f>"13° Salário Anual"</f>
        <v>13° Salário Anual</v>
      </c>
      <c r="C1487" t="str">
        <f>"Maria Sueli da Costa Vieira"</f>
        <v>Maria Sueli da Costa Vieira</v>
      </c>
      <c r="D1487" t="str">
        <f>"AUXILIAR MUNICIPAL"</f>
        <v>AUXILIAR MUNICIPAL</v>
      </c>
      <c r="E1487" t="str">
        <f>"Efetivo-Inativos II-RJUSM"</f>
        <v>Efetivo-Inativos II-RJUSM</v>
      </c>
      <c r="F1487" t="str">
        <f t="shared" ref="F1487:F1492" si="153">"R$ 1.100,00"</f>
        <v>R$ 1.100,00</v>
      </c>
      <c r="G1487" t="str">
        <f t="shared" ref="G1487:G1492" si="154">"R$ 1.430,00"</f>
        <v>R$ 1.430,00</v>
      </c>
      <c r="H1487" t="str">
        <f t="shared" si="148"/>
        <v>R$ 0,00</v>
      </c>
      <c r="I1487" t="str">
        <f t="shared" ref="I1487:I1492" si="155">"R$ 1.430,00"</f>
        <v>R$ 1.430,00</v>
      </c>
      <c r="J1487" t="str">
        <f>"R$ 715,00"</f>
        <v>R$ 715,00</v>
      </c>
      <c r="K1487" t="str">
        <f>"R$ 715,00"</f>
        <v>R$ 715,00</v>
      </c>
    </row>
    <row r="1488" spans="1:11" x14ac:dyDescent="0.25">
      <c r="A1488" t="str">
        <f>"00010138 / 1"</f>
        <v>00010138 / 1</v>
      </c>
      <c r="B1488" t="str">
        <f>"Folha Mensal"</f>
        <v>Folha Mensal</v>
      </c>
      <c r="C1488" t="str">
        <f>"Maria Sueli da Costa Vieira"</f>
        <v>Maria Sueli da Costa Vieira</v>
      </c>
      <c r="D1488" t="str">
        <f>"AUXILIAR MUNICIPAL"</f>
        <v>AUXILIAR MUNICIPAL</v>
      </c>
      <c r="E1488" t="str">
        <f>"Efetivo-Inativos II-RJUSM"</f>
        <v>Efetivo-Inativos II-RJUSM</v>
      </c>
      <c r="F1488" t="str">
        <f t="shared" si="153"/>
        <v>R$ 1.100,00</v>
      </c>
      <c r="G1488" t="str">
        <f t="shared" si="154"/>
        <v>R$ 1.430,00</v>
      </c>
      <c r="H1488" t="str">
        <f t="shared" si="148"/>
        <v>R$ 0,00</v>
      </c>
      <c r="I1488" t="str">
        <f t="shared" si="155"/>
        <v>R$ 1.430,00</v>
      </c>
      <c r="J1488" t="str">
        <f>"R$ 473,58"</f>
        <v>R$ 473,58</v>
      </c>
      <c r="K1488" t="str">
        <f>"R$ 956,42"</f>
        <v>R$ 956,42</v>
      </c>
    </row>
    <row r="1489" spans="1:11" x14ac:dyDescent="0.25">
      <c r="A1489" t="str">
        <f>"03640183 / 1"</f>
        <v>03640183 / 1</v>
      </c>
      <c r="B1489" t="str">
        <f>"13° Salário Anual"</f>
        <v>13° Salário Anual</v>
      </c>
      <c r="C1489" t="str">
        <f>"Maria Suely da Conceicao Silva"</f>
        <v>Maria Suely da Conceicao Silva</v>
      </c>
      <c r="D1489" t="str">
        <f>"PENSIONISTA"</f>
        <v>PENSIONISTA</v>
      </c>
      <c r="E1489" t="str">
        <f>"Pensionista"</f>
        <v>Pensionista</v>
      </c>
      <c r="F1489" t="str">
        <f t="shared" si="153"/>
        <v>R$ 1.100,00</v>
      </c>
      <c r="G1489" t="str">
        <f t="shared" si="154"/>
        <v>R$ 1.430,00</v>
      </c>
      <c r="H1489" t="str">
        <f t="shared" si="148"/>
        <v>R$ 0,00</v>
      </c>
      <c r="I1489" t="str">
        <f t="shared" si="155"/>
        <v>R$ 1.430,00</v>
      </c>
      <c r="J1489" t="str">
        <f>"R$ 715,00"</f>
        <v>R$ 715,00</v>
      </c>
      <c r="K1489" t="str">
        <f>"R$ 715,00"</f>
        <v>R$ 715,00</v>
      </c>
    </row>
    <row r="1490" spans="1:11" x14ac:dyDescent="0.25">
      <c r="A1490" t="str">
        <f>"03640183 / 1"</f>
        <v>03640183 / 1</v>
      </c>
      <c r="B1490" t="str">
        <f>"Folha Mensal"</f>
        <v>Folha Mensal</v>
      </c>
      <c r="C1490" t="str">
        <f>"Maria Suely da Conceicao Silva"</f>
        <v>Maria Suely da Conceicao Silva</v>
      </c>
      <c r="D1490" t="str">
        <f>"PENSIONISTA"</f>
        <v>PENSIONISTA</v>
      </c>
      <c r="E1490" t="str">
        <f>"Pensionista"</f>
        <v>Pensionista</v>
      </c>
      <c r="F1490" t="str">
        <f t="shared" si="153"/>
        <v>R$ 1.100,00</v>
      </c>
      <c r="G1490" t="str">
        <f t="shared" si="154"/>
        <v>R$ 1.430,00</v>
      </c>
      <c r="H1490" t="str">
        <f t="shared" si="148"/>
        <v>R$ 0,00</v>
      </c>
      <c r="I1490" t="str">
        <f t="shared" si="155"/>
        <v>R$ 1.430,00</v>
      </c>
      <c r="J1490" t="str">
        <f>"R$ 0,00"</f>
        <v>R$ 0,00</v>
      </c>
      <c r="K1490" t="str">
        <f>"R$ 1.430,00"</f>
        <v>R$ 1.430,00</v>
      </c>
    </row>
    <row r="1491" spans="1:11" x14ac:dyDescent="0.25">
      <c r="A1491" t="str">
        <f>"00002062 / 1"</f>
        <v>00002062 / 1</v>
      </c>
      <c r="B1491" t="str">
        <f>"13° Salário Anual"</f>
        <v>13° Salário Anual</v>
      </c>
      <c r="C1491" t="str">
        <f>"Maria Sulamita de Souza Ribeiro"</f>
        <v>Maria Sulamita de Souza Ribeiro</v>
      </c>
      <c r="D1491" t="str">
        <f>"INT TEMP CONTRIBUICAO"</f>
        <v>INT TEMP CONTRIBUICAO</v>
      </c>
      <c r="E1491" t="str">
        <f>"Efetivo-Inativo I- RJUSM"</f>
        <v>Efetivo-Inativo I- RJUSM</v>
      </c>
      <c r="F1491" t="str">
        <f t="shared" si="153"/>
        <v>R$ 1.100,00</v>
      </c>
      <c r="G1491" t="str">
        <f t="shared" si="154"/>
        <v>R$ 1.430,00</v>
      </c>
      <c r="H1491" t="str">
        <f t="shared" si="148"/>
        <v>R$ 0,00</v>
      </c>
      <c r="I1491" t="str">
        <f t="shared" si="155"/>
        <v>R$ 1.430,00</v>
      </c>
      <c r="J1491" t="str">
        <f>"R$ 715,00"</f>
        <v>R$ 715,00</v>
      </c>
      <c r="K1491" t="str">
        <f>"R$ 715,00"</f>
        <v>R$ 715,00</v>
      </c>
    </row>
    <row r="1492" spans="1:11" x14ac:dyDescent="0.25">
      <c r="A1492" t="str">
        <f>"00002062 / 1"</f>
        <v>00002062 / 1</v>
      </c>
      <c r="B1492" t="str">
        <f>"Folha Mensal"</f>
        <v>Folha Mensal</v>
      </c>
      <c r="C1492" t="str">
        <f>"Maria Sulamita de Souza Ribeiro"</f>
        <v>Maria Sulamita de Souza Ribeiro</v>
      </c>
      <c r="D1492" t="str">
        <f>"INT TEMP CONTRIBUICAO"</f>
        <v>INT TEMP CONTRIBUICAO</v>
      </c>
      <c r="E1492" t="str">
        <f>"Efetivo-Inativo I- RJUSM"</f>
        <v>Efetivo-Inativo I- RJUSM</v>
      </c>
      <c r="F1492" t="str">
        <f t="shared" si="153"/>
        <v>R$ 1.100,00</v>
      </c>
      <c r="G1492" t="str">
        <f t="shared" si="154"/>
        <v>R$ 1.430,00</v>
      </c>
      <c r="H1492" t="str">
        <f t="shared" si="148"/>
        <v>R$ 0,00</v>
      </c>
      <c r="I1492" t="str">
        <f t="shared" si="155"/>
        <v>R$ 1.430,00</v>
      </c>
      <c r="J1492" t="str">
        <f>"R$ 342,00"</f>
        <v>R$ 342,00</v>
      </c>
      <c r="K1492" t="str">
        <f>"R$ 1.088,00"</f>
        <v>R$ 1.088,00</v>
      </c>
    </row>
    <row r="1493" spans="1:11" x14ac:dyDescent="0.25">
      <c r="A1493" t="str">
        <f>"03641821 / 1"</f>
        <v>03641821 / 1</v>
      </c>
      <c r="B1493" t="str">
        <f>"13° Salário Anual"</f>
        <v>13° Salário Anual</v>
      </c>
      <c r="C1493" t="str">
        <f>"Maria Valdomira da Silva de Carvalho"</f>
        <v>Maria Valdomira da Silva de Carvalho</v>
      </c>
      <c r="D1493" t="str">
        <f>"DAS 08"</f>
        <v>DAS 08</v>
      </c>
      <c r="E1493" t="str">
        <f>"Comissionado"</f>
        <v>Comissionado</v>
      </c>
      <c r="F1493" t="str">
        <f>"R$ 4.200,00"</f>
        <v>R$ 4.200,00</v>
      </c>
      <c r="G1493" t="str">
        <f>"R$ 1.050,00"</f>
        <v>R$ 1.050,00</v>
      </c>
      <c r="H1493" t="str">
        <f t="shared" si="148"/>
        <v>R$ 0,00</v>
      </c>
      <c r="I1493" t="str">
        <f>"R$ 1.050,00"</f>
        <v>R$ 1.050,00</v>
      </c>
      <c r="J1493" t="str">
        <f>"R$ 603,75"</f>
        <v>R$ 603,75</v>
      </c>
      <c r="K1493" t="str">
        <f>"R$ 446,25"</f>
        <v>R$ 446,25</v>
      </c>
    </row>
    <row r="1494" spans="1:11" x14ac:dyDescent="0.25">
      <c r="A1494" t="str">
        <f>"03641821 / 1"</f>
        <v>03641821 / 1</v>
      </c>
      <c r="B1494" t="str">
        <f>"Folha Mensal"</f>
        <v>Folha Mensal</v>
      </c>
      <c r="C1494" t="str">
        <f>"Maria Valdomira da Silva de Carvalho"</f>
        <v>Maria Valdomira da Silva de Carvalho</v>
      </c>
      <c r="D1494" t="str">
        <f>"DAS 08"</f>
        <v>DAS 08</v>
      </c>
      <c r="E1494" t="str">
        <f>"Comissionado"</f>
        <v>Comissionado</v>
      </c>
      <c r="F1494" t="str">
        <f>"R$ 4.200,00"</f>
        <v>R$ 4.200,00</v>
      </c>
      <c r="G1494" t="str">
        <f>"R$ 4.200,00"</f>
        <v>R$ 4.200,00</v>
      </c>
      <c r="H1494" t="str">
        <f t="shared" si="148"/>
        <v>R$ 0,00</v>
      </c>
      <c r="I1494" t="str">
        <f>"R$ 4.200,00"</f>
        <v>R$ 4.200,00</v>
      </c>
      <c r="J1494" t="str">
        <f>"R$ 649,30"</f>
        <v>R$ 649,30</v>
      </c>
      <c r="K1494" t="str">
        <f>"R$ 3.550,70"</f>
        <v>R$ 3.550,70</v>
      </c>
    </row>
    <row r="1495" spans="1:11" x14ac:dyDescent="0.25">
      <c r="A1495" t="str">
        <f>"00006998 / 1"</f>
        <v>00006998 / 1</v>
      </c>
      <c r="B1495" t="str">
        <f>"13° Salário Anual"</f>
        <v>13° Salário Anual</v>
      </c>
      <c r="C1495" t="str">
        <f>"Maria Vieira dos Santos"</f>
        <v>Maria Vieira dos Santos</v>
      </c>
      <c r="D1495" t="str">
        <f>"PROFESSOR"</f>
        <v>PROFESSOR</v>
      </c>
      <c r="E1495" t="str">
        <f t="shared" ref="E1495:E1506" si="156">"Efetivo-Inativo I- RJUSM"</f>
        <v>Efetivo-Inativo I- RJUSM</v>
      </c>
      <c r="F1495" t="str">
        <f>"R$ 2.071,51"</f>
        <v>R$ 2.071,51</v>
      </c>
      <c r="G1495" t="str">
        <f>"R$ 4.660,89"</f>
        <v>R$ 4.660,89</v>
      </c>
      <c r="H1495" t="str">
        <f t="shared" si="148"/>
        <v>R$ 0,00</v>
      </c>
      <c r="I1495" t="str">
        <f>"R$ 4.660,89"</f>
        <v>R$ 4.660,89</v>
      </c>
      <c r="J1495" t="str">
        <f>"R$ 2.380,18"</f>
        <v>R$ 2.380,18</v>
      </c>
      <c r="K1495" t="str">
        <f>"R$ 2.280,71"</f>
        <v>R$ 2.280,71</v>
      </c>
    </row>
    <row r="1496" spans="1:11" x14ac:dyDescent="0.25">
      <c r="A1496" t="str">
        <f>"00006998 / 1"</f>
        <v>00006998 / 1</v>
      </c>
      <c r="B1496" t="str">
        <f>"Folha Mensal"</f>
        <v>Folha Mensal</v>
      </c>
      <c r="C1496" t="str">
        <f>"Maria Vieira dos Santos"</f>
        <v>Maria Vieira dos Santos</v>
      </c>
      <c r="D1496" t="str">
        <f>"PROFESSOR"</f>
        <v>PROFESSOR</v>
      </c>
      <c r="E1496" t="str">
        <f t="shared" si="156"/>
        <v>Efetivo-Inativo I- RJUSM</v>
      </c>
      <c r="F1496" t="str">
        <f>"R$ 2.071,51"</f>
        <v>R$ 2.071,51</v>
      </c>
      <c r="G1496" t="str">
        <f>"R$ 4.660,89"</f>
        <v>R$ 4.660,89</v>
      </c>
      <c r="H1496" t="str">
        <f t="shared" si="148"/>
        <v>R$ 0,00</v>
      </c>
      <c r="I1496" t="str">
        <f>"R$ 4.660,89"</f>
        <v>R$ 4.660,89</v>
      </c>
      <c r="J1496" t="str">
        <f>"R$ 49,74"</f>
        <v>R$ 49,74</v>
      </c>
      <c r="K1496" t="str">
        <f>"R$ 4.611,15"</f>
        <v>R$ 4.611,15</v>
      </c>
    </row>
    <row r="1497" spans="1:11" x14ac:dyDescent="0.25">
      <c r="A1497" t="str">
        <f>"00028614 / 1"</f>
        <v>00028614 / 1</v>
      </c>
      <c r="B1497" t="str">
        <f>"13° Salário Anual"</f>
        <v>13° Salário Anual</v>
      </c>
      <c r="C1497" t="str">
        <f>"Maria Vitoria Ferreira Piedade"</f>
        <v>Maria Vitoria Ferreira Piedade</v>
      </c>
      <c r="D1497" t="str">
        <f>"PROP TEMP SERVICO"</f>
        <v>PROP TEMP SERVICO</v>
      </c>
      <c r="E1497" t="str">
        <f t="shared" si="156"/>
        <v>Efetivo-Inativo I- RJUSM</v>
      </c>
      <c r="F1497" t="str">
        <f t="shared" ref="F1497:G1500" si="157">"R$ 1.100,00"</f>
        <v>R$ 1.100,00</v>
      </c>
      <c r="G1497" t="str">
        <f t="shared" si="157"/>
        <v>R$ 1.100,00</v>
      </c>
      <c r="H1497" t="str">
        <f t="shared" si="148"/>
        <v>R$ 0,00</v>
      </c>
      <c r="I1497" t="str">
        <f>"R$ 1.100,00"</f>
        <v>R$ 1.100,00</v>
      </c>
      <c r="J1497" t="str">
        <f>"R$ 550,00"</f>
        <v>R$ 550,00</v>
      </c>
      <c r="K1497" t="str">
        <f>"R$ 550,00"</f>
        <v>R$ 550,00</v>
      </c>
    </row>
    <row r="1498" spans="1:11" x14ac:dyDescent="0.25">
      <c r="A1498" t="str">
        <f>"00028614 / 1"</f>
        <v>00028614 / 1</v>
      </c>
      <c r="B1498" t="str">
        <f>"Folha Mensal"</f>
        <v>Folha Mensal</v>
      </c>
      <c r="C1498" t="str">
        <f>"Maria Vitoria Ferreira Piedade"</f>
        <v>Maria Vitoria Ferreira Piedade</v>
      </c>
      <c r="D1498" t="str">
        <f>"PROP TEMP SERVICO"</f>
        <v>PROP TEMP SERVICO</v>
      </c>
      <c r="E1498" t="str">
        <f t="shared" si="156"/>
        <v>Efetivo-Inativo I- RJUSM</v>
      </c>
      <c r="F1498" t="str">
        <f t="shared" si="157"/>
        <v>R$ 1.100,00</v>
      </c>
      <c r="G1498" t="str">
        <f t="shared" si="157"/>
        <v>R$ 1.100,00</v>
      </c>
      <c r="H1498" t="str">
        <f t="shared" si="148"/>
        <v>R$ 0,00</v>
      </c>
      <c r="I1498" t="str">
        <f>"R$ 1.100,00"</f>
        <v>R$ 1.100,00</v>
      </c>
      <c r="J1498" t="str">
        <f>"R$ 0,00"</f>
        <v>R$ 0,00</v>
      </c>
      <c r="K1498" t="str">
        <f>"R$ 1.100,00"</f>
        <v>R$ 1.100,00</v>
      </c>
    </row>
    <row r="1499" spans="1:11" x14ac:dyDescent="0.25">
      <c r="A1499" t="str">
        <f>"00026190 / 1"</f>
        <v>00026190 / 1</v>
      </c>
      <c r="B1499" t="str">
        <f>"13° Salário Anual"</f>
        <v>13° Salário Anual</v>
      </c>
      <c r="C1499" t="str">
        <f>"Maria Zilda da Silva Lucena"</f>
        <v>Maria Zilda da Silva Lucena</v>
      </c>
      <c r="D1499" t="str">
        <f>"PROP IDADE"</f>
        <v>PROP IDADE</v>
      </c>
      <c r="E1499" t="str">
        <f t="shared" si="156"/>
        <v>Efetivo-Inativo I- RJUSM</v>
      </c>
      <c r="F1499" t="str">
        <f t="shared" si="157"/>
        <v>R$ 1.100,00</v>
      </c>
      <c r="G1499" t="str">
        <f t="shared" si="157"/>
        <v>R$ 1.100,00</v>
      </c>
      <c r="H1499" t="str">
        <f t="shared" si="148"/>
        <v>R$ 0,00</v>
      </c>
      <c r="I1499" t="str">
        <f>"R$ 1.100,00"</f>
        <v>R$ 1.100,00</v>
      </c>
      <c r="J1499" t="str">
        <f>"R$ 550,00"</f>
        <v>R$ 550,00</v>
      </c>
      <c r="K1499" t="str">
        <f>"R$ 550,00"</f>
        <v>R$ 550,00</v>
      </c>
    </row>
    <row r="1500" spans="1:11" x14ac:dyDescent="0.25">
      <c r="A1500" t="str">
        <f>"00026190 / 1"</f>
        <v>00026190 / 1</v>
      </c>
      <c r="B1500" t="str">
        <f>"Folha Mensal"</f>
        <v>Folha Mensal</v>
      </c>
      <c r="C1500" t="str">
        <f>"Maria Zilda da Silva Lucena"</f>
        <v>Maria Zilda da Silva Lucena</v>
      </c>
      <c r="D1500" t="str">
        <f>"PROP IDADE"</f>
        <v>PROP IDADE</v>
      </c>
      <c r="E1500" t="str">
        <f t="shared" si="156"/>
        <v>Efetivo-Inativo I- RJUSM</v>
      </c>
      <c r="F1500" t="str">
        <f t="shared" si="157"/>
        <v>R$ 1.100,00</v>
      </c>
      <c r="G1500" t="str">
        <f t="shared" si="157"/>
        <v>R$ 1.100,00</v>
      </c>
      <c r="H1500" t="str">
        <f t="shared" si="148"/>
        <v>R$ 0,00</v>
      </c>
      <c r="I1500" t="str">
        <f>"R$ 1.100,00"</f>
        <v>R$ 1.100,00</v>
      </c>
      <c r="J1500" t="str">
        <f>"R$ 0,00"</f>
        <v>R$ 0,00</v>
      </c>
      <c r="K1500" t="str">
        <f>"R$ 1.100,00"</f>
        <v>R$ 1.100,00</v>
      </c>
    </row>
    <row r="1501" spans="1:11" x14ac:dyDescent="0.25">
      <c r="A1501" t="str">
        <f>"00003360 / 1"</f>
        <v>00003360 / 1</v>
      </c>
      <c r="B1501" t="str">
        <f>"13° Salário Anual"</f>
        <v>13° Salário Anual</v>
      </c>
      <c r="C1501" t="str">
        <f>"Maria Zumilde Dias de Sousa"</f>
        <v>Maria Zumilde Dias de Sousa</v>
      </c>
      <c r="D1501" t="str">
        <f>"INT INVALIDEZ"</f>
        <v>INT INVALIDEZ</v>
      </c>
      <c r="E1501" t="str">
        <f t="shared" si="156"/>
        <v>Efetivo-Inativo I- RJUSM</v>
      </c>
      <c r="F1501" t="str">
        <f>"R$ 1.100,00"</f>
        <v>R$ 1.100,00</v>
      </c>
      <c r="G1501" t="str">
        <f>"R$ 1.320,00"</f>
        <v>R$ 1.320,00</v>
      </c>
      <c r="H1501" t="str">
        <f t="shared" si="148"/>
        <v>R$ 0,00</v>
      </c>
      <c r="I1501" t="str">
        <f>"R$ 1.320,00"</f>
        <v>R$ 1.320,00</v>
      </c>
      <c r="J1501" t="str">
        <f>"R$ 660,00"</f>
        <v>R$ 660,00</v>
      </c>
      <c r="K1501" t="str">
        <f>"R$ 660,00"</f>
        <v>R$ 660,00</v>
      </c>
    </row>
    <row r="1502" spans="1:11" x14ac:dyDescent="0.25">
      <c r="A1502" t="str">
        <f>"00003360 / 1"</f>
        <v>00003360 / 1</v>
      </c>
      <c r="B1502" t="str">
        <f>"Folha Mensal"</f>
        <v>Folha Mensal</v>
      </c>
      <c r="C1502" t="str">
        <f>"Maria Zumilde Dias de Sousa"</f>
        <v>Maria Zumilde Dias de Sousa</v>
      </c>
      <c r="D1502" t="str">
        <f>"INT INVALIDEZ"</f>
        <v>INT INVALIDEZ</v>
      </c>
      <c r="E1502" t="str">
        <f t="shared" si="156"/>
        <v>Efetivo-Inativo I- RJUSM</v>
      </c>
      <c r="F1502" t="str">
        <f>"R$ 1.100,00"</f>
        <v>R$ 1.100,00</v>
      </c>
      <c r="G1502" t="str">
        <f>"R$ 1.320,00"</f>
        <v>R$ 1.320,00</v>
      </c>
      <c r="H1502" t="str">
        <f t="shared" si="148"/>
        <v>R$ 0,00</v>
      </c>
      <c r="I1502" t="str">
        <f>"R$ 1.320,00"</f>
        <v>R$ 1.320,00</v>
      </c>
      <c r="J1502" t="str">
        <f>"R$ 337,72"</f>
        <v>R$ 337,72</v>
      </c>
      <c r="K1502" t="str">
        <f>"R$ 982,28"</f>
        <v>R$ 982,28</v>
      </c>
    </row>
    <row r="1503" spans="1:11" x14ac:dyDescent="0.25">
      <c r="A1503" t="str">
        <f>"00028304 / 1"</f>
        <v>00028304 / 1</v>
      </c>
      <c r="B1503" t="str">
        <f>"13° Salário Anual"</f>
        <v>13° Salário Anual</v>
      </c>
      <c r="C1503" t="str">
        <f>"Marialda Medeiros de Melo"</f>
        <v>Marialda Medeiros de Melo</v>
      </c>
      <c r="D1503" t="str">
        <f>"PROFESSOR"</f>
        <v>PROFESSOR</v>
      </c>
      <c r="E1503" t="str">
        <f t="shared" si="156"/>
        <v>Efetivo-Inativo I- RJUSM</v>
      </c>
      <c r="F1503" t="str">
        <f>"R$ 2.615,34"</f>
        <v>R$ 2.615,34</v>
      </c>
      <c r="G1503" t="str">
        <f>"R$ 5.021,44"</f>
        <v>R$ 5.021,44</v>
      </c>
      <c r="H1503" t="str">
        <f t="shared" si="148"/>
        <v>R$ 0,00</v>
      </c>
      <c r="I1503" t="str">
        <f>"R$ 5.021,44"</f>
        <v>R$ 5.021,44</v>
      </c>
      <c r="J1503" t="str">
        <f>"R$ 2.205,08"</f>
        <v>R$ 2.205,08</v>
      </c>
      <c r="K1503" t="str">
        <f>"R$ 2.816,36"</f>
        <v>R$ 2.816,36</v>
      </c>
    </row>
    <row r="1504" spans="1:11" x14ac:dyDescent="0.25">
      <c r="A1504" t="str">
        <f>"00028304 / 1"</f>
        <v>00028304 / 1</v>
      </c>
      <c r="B1504" t="str">
        <f>"Folha Mensal"</f>
        <v>Folha Mensal</v>
      </c>
      <c r="C1504" t="str">
        <f>"Marialda Medeiros de Melo"</f>
        <v>Marialda Medeiros de Melo</v>
      </c>
      <c r="D1504" t="str">
        <f>"PROFESSOR"</f>
        <v>PROFESSOR</v>
      </c>
      <c r="E1504" t="str">
        <f t="shared" si="156"/>
        <v>Efetivo-Inativo I- RJUSM</v>
      </c>
      <c r="F1504" t="str">
        <f>"R$ 2.615,34"</f>
        <v>R$ 2.615,34</v>
      </c>
      <c r="G1504" t="str">
        <f>"R$ 5.021,44"</f>
        <v>R$ 5.021,44</v>
      </c>
      <c r="H1504" t="str">
        <f t="shared" ref="H1504:H1567" si="158">"R$ 0,00"</f>
        <v>R$ 0,00</v>
      </c>
      <c r="I1504" t="str">
        <f>"R$ 5.021,44"</f>
        <v>R$ 5.021,44</v>
      </c>
      <c r="J1504" t="str">
        <f>"R$ 112,81"</f>
        <v>R$ 112,81</v>
      </c>
      <c r="K1504" t="str">
        <f>"R$ 4.908,63"</f>
        <v>R$ 4.908,63</v>
      </c>
    </row>
    <row r="1505" spans="1:11" x14ac:dyDescent="0.25">
      <c r="A1505" t="str">
        <f>"00023752 / 1"</f>
        <v>00023752 / 1</v>
      </c>
      <c r="B1505" t="str">
        <f>"13° Salário Anual"</f>
        <v>13° Salário Anual</v>
      </c>
      <c r="C1505" t="str">
        <f>"Marielza Alves Lima de Vasconcelos"</f>
        <v>Marielza Alves Lima de Vasconcelos</v>
      </c>
      <c r="D1505" t="str">
        <f>"PROFESSOR NIVEL II"</f>
        <v>PROFESSOR NIVEL II</v>
      </c>
      <c r="E1505" t="str">
        <f t="shared" si="156"/>
        <v>Efetivo-Inativo I- RJUSM</v>
      </c>
      <c r="F1505" t="str">
        <f>"R$ 4.143,03"</f>
        <v>R$ 4.143,03</v>
      </c>
      <c r="G1505" t="str">
        <f>"R$ 5.178,78"</f>
        <v>R$ 5.178,78</v>
      </c>
      <c r="H1505" t="str">
        <f t="shared" si="158"/>
        <v>R$ 0,00</v>
      </c>
      <c r="I1505" t="str">
        <f>"R$ 5.178,78"</f>
        <v>R$ 5.178,78</v>
      </c>
      <c r="J1505" t="str">
        <f>"R$ 2.589,39"</f>
        <v>R$ 2.589,39</v>
      </c>
      <c r="K1505" t="str">
        <f>"R$ 2.589,39"</f>
        <v>R$ 2.589,39</v>
      </c>
    </row>
    <row r="1506" spans="1:11" x14ac:dyDescent="0.25">
      <c r="A1506" t="str">
        <f>"00023752 / 1"</f>
        <v>00023752 / 1</v>
      </c>
      <c r="B1506" t="str">
        <f>"Folha Mensal"</f>
        <v>Folha Mensal</v>
      </c>
      <c r="C1506" t="str">
        <f>"Marielza Alves Lima de Vasconcelos"</f>
        <v>Marielza Alves Lima de Vasconcelos</v>
      </c>
      <c r="D1506" t="str">
        <f>"PROFESSOR NIVEL II"</f>
        <v>PROFESSOR NIVEL II</v>
      </c>
      <c r="E1506" t="str">
        <f t="shared" si="156"/>
        <v>Efetivo-Inativo I- RJUSM</v>
      </c>
      <c r="F1506" t="str">
        <f>"R$ 4.143,03"</f>
        <v>R$ 4.143,03</v>
      </c>
      <c r="G1506" t="str">
        <f>"R$ 5.178,78"</f>
        <v>R$ 5.178,78</v>
      </c>
      <c r="H1506" t="str">
        <f t="shared" si="158"/>
        <v>R$ 0,00</v>
      </c>
      <c r="I1506" t="str">
        <f>"R$ 5.178,78"</f>
        <v>R$ 5.178,78</v>
      </c>
      <c r="J1506" t="str">
        <f>"R$ 1.540,36"</f>
        <v>R$ 1.540,36</v>
      </c>
      <c r="K1506" t="str">
        <f>"R$ 3.638,42"</f>
        <v>R$ 3.638,42</v>
      </c>
    </row>
    <row r="1507" spans="1:11" x14ac:dyDescent="0.25">
      <c r="A1507" t="str">
        <f>"00053023 / 2"</f>
        <v>00053023 / 2</v>
      </c>
      <c r="B1507" t="str">
        <f>"13° Salário Anual"</f>
        <v>13° Salário Anual</v>
      </c>
      <c r="C1507" t="str">
        <f>"Marilene Braga Estumano"</f>
        <v>Marilene Braga Estumano</v>
      </c>
      <c r="D1507" t="str">
        <f>"PROFESSOR NIVEL III"</f>
        <v>PROFESSOR NIVEL III</v>
      </c>
      <c r="E1507" t="str">
        <f t="shared" ref="E1507:E1512" si="159">"Efetivo-Inativos II-RJUSM"</f>
        <v>Efetivo-Inativos II-RJUSM</v>
      </c>
      <c r="F1507" t="str">
        <f>"R$ 5.736,47"</f>
        <v>R$ 5.736,47</v>
      </c>
      <c r="G1507" t="str">
        <f>"R$ 7.170,58"</f>
        <v>R$ 7.170,58</v>
      </c>
      <c r="H1507" t="str">
        <f t="shared" si="158"/>
        <v>R$ 0,00</v>
      </c>
      <c r="I1507" t="str">
        <f>"R$ 7.170,58"</f>
        <v>R$ 7.170,58</v>
      </c>
      <c r="J1507" t="str">
        <f>"R$ 4.744,25"</f>
        <v>R$ 4.744,25</v>
      </c>
      <c r="K1507" t="str">
        <f>"R$ 2.426,33"</f>
        <v>R$ 2.426,33</v>
      </c>
    </row>
    <row r="1508" spans="1:11" x14ac:dyDescent="0.25">
      <c r="A1508" t="str">
        <f>"00053023 / 2"</f>
        <v>00053023 / 2</v>
      </c>
      <c r="B1508" t="str">
        <f>"Folha Mensal"</f>
        <v>Folha Mensal</v>
      </c>
      <c r="C1508" t="str">
        <f>"Marilene Braga Estumano"</f>
        <v>Marilene Braga Estumano</v>
      </c>
      <c r="D1508" t="str">
        <f>"PROFESSOR NIVEL III"</f>
        <v>PROFESSOR NIVEL III</v>
      </c>
      <c r="E1508" t="str">
        <f t="shared" si="159"/>
        <v>Efetivo-Inativos II-RJUSM</v>
      </c>
      <c r="F1508" t="str">
        <f>"R$ 5.736,47"</f>
        <v>R$ 5.736,47</v>
      </c>
      <c r="G1508" t="str">
        <f>"R$ 7.170,58"</f>
        <v>R$ 7.170,58</v>
      </c>
      <c r="H1508" t="str">
        <f t="shared" si="158"/>
        <v>R$ 0,00</v>
      </c>
      <c r="I1508" t="str">
        <f>"R$ 7.170,58"</f>
        <v>R$ 7.170,58</v>
      </c>
      <c r="J1508" t="str">
        <f>"R$ 1.158,96"</f>
        <v>R$ 1.158,96</v>
      </c>
      <c r="K1508" t="str">
        <f>"R$ 6.011,62"</f>
        <v>R$ 6.011,62</v>
      </c>
    </row>
    <row r="1509" spans="1:11" x14ac:dyDescent="0.25">
      <c r="A1509" t="str">
        <f>"00028681 / 1"</f>
        <v>00028681 / 1</v>
      </c>
      <c r="B1509" t="str">
        <f>"13° Salário Anual"</f>
        <v>13° Salário Anual</v>
      </c>
      <c r="C1509" t="str">
        <f>"Marilene Marques Ribeiro"</f>
        <v>Marilene Marques Ribeiro</v>
      </c>
      <c r="D1509" t="str">
        <f>"PROFESSOR NIVEL II"</f>
        <v>PROFESSOR NIVEL II</v>
      </c>
      <c r="E1509" t="str">
        <f t="shared" si="159"/>
        <v>Efetivo-Inativos II-RJUSM</v>
      </c>
      <c r="F1509" t="str">
        <f>"R$ 2.868,22"</f>
        <v>R$ 2.868,22</v>
      </c>
      <c r="G1509" t="str">
        <f>"R$ 3.585,27"</f>
        <v>R$ 3.585,27</v>
      </c>
      <c r="H1509" t="str">
        <f t="shared" si="158"/>
        <v>R$ 0,00</v>
      </c>
      <c r="I1509" t="str">
        <f>"R$ 3.585,27"</f>
        <v>R$ 3.585,27</v>
      </c>
      <c r="J1509" t="str">
        <f>"R$ 1.975,62"</f>
        <v>R$ 1.975,62</v>
      </c>
      <c r="K1509" t="str">
        <f>"R$ 1.609,65"</f>
        <v>R$ 1.609,65</v>
      </c>
    </row>
    <row r="1510" spans="1:11" x14ac:dyDescent="0.25">
      <c r="A1510" t="str">
        <f>"00028681 / 1"</f>
        <v>00028681 / 1</v>
      </c>
      <c r="B1510" t="str">
        <f>"Folha Mensal"</f>
        <v>Folha Mensal</v>
      </c>
      <c r="C1510" t="str">
        <f>"Marilene Marques Ribeiro"</f>
        <v>Marilene Marques Ribeiro</v>
      </c>
      <c r="D1510" t="str">
        <f>"PROFESSOR NIVEL II"</f>
        <v>PROFESSOR NIVEL II</v>
      </c>
      <c r="E1510" t="str">
        <f t="shared" si="159"/>
        <v>Efetivo-Inativos II-RJUSM</v>
      </c>
      <c r="F1510" t="str">
        <f>"R$ 2.868,22"</f>
        <v>R$ 2.868,22</v>
      </c>
      <c r="G1510" t="str">
        <f>"R$ 3.585,27"</f>
        <v>R$ 3.585,27</v>
      </c>
      <c r="H1510" t="str">
        <f t="shared" si="158"/>
        <v>R$ 0,00</v>
      </c>
      <c r="I1510" t="str">
        <f>"R$ 3.585,27"</f>
        <v>R$ 3.585,27</v>
      </c>
      <c r="J1510" t="str">
        <f>"R$ 182,99"</f>
        <v>R$ 182,99</v>
      </c>
      <c r="K1510" t="str">
        <f>"R$ 3.402,28"</f>
        <v>R$ 3.402,28</v>
      </c>
    </row>
    <row r="1511" spans="1:11" x14ac:dyDescent="0.25">
      <c r="A1511" t="str">
        <f>"00006378 / 2"</f>
        <v>00006378 / 2</v>
      </c>
      <c r="B1511" t="str">
        <f>"13° Salário Anual"</f>
        <v>13° Salário Anual</v>
      </c>
      <c r="C1511" t="str">
        <f>"Marina de Souza Mendes"</f>
        <v>Marina de Souza Mendes</v>
      </c>
      <c r="D1511" t="str">
        <f>"PROFESSOR NIVEL II"</f>
        <v>PROFESSOR NIVEL II</v>
      </c>
      <c r="E1511" t="str">
        <f t="shared" si="159"/>
        <v>Efetivo-Inativos II-RJUSM</v>
      </c>
      <c r="F1511" t="str">
        <f>"R$ 5.736,47"</f>
        <v>R$ 5.736,47</v>
      </c>
      <c r="G1511" t="str">
        <f>"R$ 7.170,58"</f>
        <v>R$ 7.170,58</v>
      </c>
      <c r="H1511" t="str">
        <f t="shared" si="158"/>
        <v>R$ 0,00</v>
      </c>
      <c r="I1511" t="str">
        <f>"R$ 7.170,58"</f>
        <v>R$ 7.170,58</v>
      </c>
      <c r="J1511" t="str">
        <f>"R$ 4.744,25"</f>
        <v>R$ 4.744,25</v>
      </c>
      <c r="K1511" t="str">
        <f>"R$ 2.426,33"</f>
        <v>R$ 2.426,33</v>
      </c>
    </row>
    <row r="1512" spans="1:11" x14ac:dyDescent="0.25">
      <c r="A1512" t="str">
        <f>"00006378 / 2"</f>
        <v>00006378 / 2</v>
      </c>
      <c r="B1512" t="str">
        <f>"Folha Mensal"</f>
        <v>Folha Mensal</v>
      </c>
      <c r="C1512" t="str">
        <f>"Marina de Souza Mendes"</f>
        <v>Marina de Souza Mendes</v>
      </c>
      <c r="D1512" t="str">
        <f>"PROFESSOR NIVEL II"</f>
        <v>PROFESSOR NIVEL II</v>
      </c>
      <c r="E1512" t="str">
        <f t="shared" si="159"/>
        <v>Efetivo-Inativos II-RJUSM</v>
      </c>
      <c r="F1512" t="str">
        <f>"R$ 5.736,47"</f>
        <v>R$ 5.736,47</v>
      </c>
      <c r="G1512" t="str">
        <f>"R$ 7.170,58"</f>
        <v>R$ 7.170,58</v>
      </c>
      <c r="H1512" t="str">
        <f t="shared" si="158"/>
        <v>R$ 0,00</v>
      </c>
      <c r="I1512" t="str">
        <f>"R$ 7.170,58"</f>
        <v>R$ 7.170,58</v>
      </c>
      <c r="J1512" t="str">
        <f>"R$ 1.372,36"</f>
        <v>R$ 1.372,36</v>
      </c>
      <c r="K1512" t="str">
        <f>"R$ 5.798,22"</f>
        <v>R$ 5.798,22</v>
      </c>
    </row>
    <row r="1513" spans="1:11" x14ac:dyDescent="0.25">
      <c r="A1513" t="str">
        <f>"00000671 / 1"</f>
        <v>00000671 / 1</v>
      </c>
      <c r="B1513" t="str">
        <f>"13° Salário Anual"</f>
        <v>13° Salário Anual</v>
      </c>
      <c r="C1513" t="str">
        <f>"Marina Lima de Sousa"</f>
        <v>Marina Lima de Sousa</v>
      </c>
      <c r="D1513" t="str">
        <f>"PROFESSOR"</f>
        <v>PROFESSOR</v>
      </c>
      <c r="E1513" t="str">
        <f>"Efetivo-Inativo I- RJUSM"</f>
        <v>Efetivo-Inativo I- RJUSM</v>
      </c>
      <c r="F1513" t="str">
        <f>"R$ 1.593,46"</f>
        <v>R$ 1.593,46</v>
      </c>
      <c r="G1513" t="str">
        <f>"R$ 1.991,82"</f>
        <v>R$ 1.991,82</v>
      </c>
      <c r="H1513" t="str">
        <f t="shared" si="158"/>
        <v>R$ 0,00</v>
      </c>
      <c r="I1513" t="str">
        <f>"R$ 1.991,82"</f>
        <v>R$ 1.991,82</v>
      </c>
      <c r="J1513" t="str">
        <f>"R$ 995,91"</f>
        <v>R$ 995,91</v>
      </c>
      <c r="K1513" t="str">
        <f>"R$ 995,91"</f>
        <v>R$ 995,91</v>
      </c>
    </row>
    <row r="1514" spans="1:11" x14ac:dyDescent="0.25">
      <c r="A1514" t="str">
        <f>"00000671 / 1"</f>
        <v>00000671 / 1</v>
      </c>
      <c r="B1514" t="str">
        <f>"Folha Mensal"</f>
        <v>Folha Mensal</v>
      </c>
      <c r="C1514" t="str">
        <f>"Marina Lima de Sousa"</f>
        <v>Marina Lima de Sousa</v>
      </c>
      <c r="D1514" t="str">
        <f>"PROFESSOR"</f>
        <v>PROFESSOR</v>
      </c>
      <c r="E1514" t="str">
        <f>"Efetivo-Inativo I- RJUSM"</f>
        <v>Efetivo-Inativo I- RJUSM</v>
      </c>
      <c r="F1514" t="str">
        <f>"R$ 1.593,46"</f>
        <v>R$ 1.593,46</v>
      </c>
      <c r="G1514" t="str">
        <f>"R$ 1.991,82"</f>
        <v>R$ 1.991,82</v>
      </c>
      <c r="H1514" t="str">
        <f t="shared" si="158"/>
        <v>R$ 0,00</v>
      </c>
      <c r="I1514" t="str">
        <f>"R$ 1.991,82"</f>
        <v>R$ 1.991,82</v>
      </c>
      <c r="J1514" t="str">
        <f>"R$ 0,00"</f>
        <v>R$ 0,00</v>
      </c>
      <c r="K1514" t="str">
        <f>"R$ 1.991,82"</f>
        <v>R$ 1.991,82</v>
      </c>
    </row>
    <row r="1515" spans="1:11" x14ac:dyDescent="0.25">
      <c r="A1515" t="str">
        <f>"00058467 / 1"</f>
        <v>00058467 / 1</v>
      </c>
      <c r="B1515" t="str">
        <f>"13° Salário Anual"</f>
        <v>13° Salário Anual</v>
      </c>
      <c r="C1515" t="str">
        <f>"Marinelia Alves de Andrade Lima"</f>
        <v>Marinelia Alves de Andrade Lima</v>
      </c>
      <c r="D1515" t="str">
        <f>"PROFESSOR NIVEL II"</f>
        <v>PROFESSOR NIVEL II</v>
      </c>
      <c r="E1515" t="str">
        <f>"Efetivo-Inativo I- RJUSM"</f>
        <v>Efetivo-Inativo I- RJUSM</v>
      </c>
      <c r="F1515" t="str">
        <f>"R$ 4.143,03"</f>
        <v>R$ 4.143,03</v>
      </c>
      <c r="G1515" t="str">
        <f>"R$ 5.178,78"</f>
        <v>R$ 5.178,78</v>
      </c>
      <c r="H1515" t="str">
        <f t="shared" si="158"/>
        <v>R$ 0,00</v>
      </c>
      <c r="I1515" t="str">
        <f>"R$ 5.178,78"</f>
        <v>R$ 5.178,78</v>
      </c>
      <c r="J1515" t="str">
        <f>"R$ 3.144,19"</f>
        <v>R$ 3.144,19</v>
      </c>
      <c r="K1515" t="str">
        <f>"R$ 2.034,59"</f>
        <v>R$ 2.034,59</v>
      </c>
    </row>
    <row r="1516" spans="1:11" x14ac:dyDescent="0.25">
      <c r="A1516" t="str">
        <f>"00058467 / 1"</f>
        <v>00058467 / 1</v>
      </c>
      <c r="B1516" t="str">
        <f>"Folha Mensal"</f>
        <v>Folha Mensal</v>
      </c>
      <c r="C1516" t="str">
        <f>"Marinelia Alves de Andrade Lima"</f>
        <v>Marinelia Alves de Andrade Lima</v>
      </c>
      <c r="D1516" t="str">
        <f>"PROFESSOR NIVEL II"</f>
        <v>PROFESSOR NIVEL II</v>
      </c>
      <c r="E1516" t="str">
        <f>"Efetivo-Inativo I- RJUSM"</f>
        <v>Efetivo-Inativo I- RJUSM</v>
      </c>
      <c r="F1516" t="str">
        <f>"R$ 4.143,03"</f>
        <v>R$ 4.143,03</v>
      </c>
      <c r="G1516" t="str">
        <f>"R$ 5.178,78"</f>
        <v>R$ 5.178,78</v>
      </c>
      <c r="H1516" t="str">
        <f t="shared" si="158"/>
        <v>R$ 0,00</v>
      </c>
      <c r="I1516" t="str">
        <f>"R$ 5.178,78"</f>
        <v>R$ 5.178,78</v>
      </c>
      <c r="J1516" t="str">
        <f>"R$ 554,80"</f>
        <v>R$ 554,80</v>
      </c>
      <c r="K1516" t="str">
        <f>"R$ 4.623,98"</f>
        <v>R$ 4.623,98</v>
      </c>
    </row>
    <row r="1517" spans="1:11" x14ac:dyDescent="0.25">
      <c r="A1517" t="str">
        <f>"03641295 / 1"</f>
        <v>03641295 / 1</v>
      </c>
      <c r="B1517" t="str">
        <f>"13° Salário Anual"</f>
        <v>13° Salário Anual</v>
      </c>
      <c r="C1517" t="str">
        <f>"Marines Almeida Pinheiro"</f>
        <v>Marines Almeida Pinheiro</v>
      </c>
      <c r="D1517" t="str">
        <f>"AUXILIAR MUNICIPAL"</f>
        <v>AUXILIAR MUNICIPAL</v>
      </c>
      <c r="E1517" t="str">
        <f>"Efetivo-Inativos II-RJUSM"</f>
        <v>Efetivo-Inativos II-RJUSM</v>
      </c>
      <c r="F1517" t="str">
        <f>"R$ 1.100,00"</f>
        <v>R$ 1.100,00</v>
      </c>
      <c r="G1517" t="str">
        <f>"R$ 990,00"</f>
        <v>R$ 990,00</v>
      </c>
      <c r="H1517" t="str">
        <f t="shared" si="158"/>
        <v>R$ 0,00</v>
      </c>
      <c r="I1517" t="str">
        <f>"R$ 990,00"</f>
        <v>R$ 990,00</v>
      </c>
      <c r="J1517" t="str">
        <f>"R$ 495,00"</f>
        <v>R$ 495,00</v>
      </c>
      <c r="K1517" t="str">
        <f>"R$ 495,00"</f>
        <v>R$ 495,00</v>
      </c>
    </row>
    <row r="1518" spans="1:11" x14ac:dyDescent="0.25">
      <c r="A1518" t="str">
        <f>"03641295 / 1"</f>
        <v>03641295 / 1</v>
      </c>
      <c r="B1518" t="str">
        <f>"Folha Mensal"</f>
        <v>Folha Mensal</v>
      </c>
      <c r="C1518" t="str">
        <f>"Marines Almeida Pinheiro"</f>
        <v>Marines Almeida Pinheiro</v>
      </c>
      <c r="D1518" t="str">
        <f>"AUXILIAR MUNICIPAL"</f>
        <v>AUXILIAR MUNICIPAL</v>
      </c>
      <c r="E1518" t="str">
        <f>"Efetivo-Inativos II-RJUSM"</f>
        <v>Efetivo-Inativos II-RJUSM</v>
      </c>
      <c r="F1518" t="str">
        <f>"R$ 1.100,00"</f>
        <v>R$ 1.100,00</v>
      </c>
      <c r="G1518" t="str">
        <f>"R$ 1.485,00"</f>
        <v>R$ 1.485,00</v>
      </c>
      <c r="H1518" t="str">
        <f t="shared" si="158"/>
        <v>R$ 0,00</v>
      </c>
      <c r="I1518" t="str">
        <f>"R$ 1.485,00"</f>
        <v>R$ 1.485,00</v>
      </c>
      <c r="J1518" t="str">
        <f>"R$ 0,00"</f>
        <v>R$ 0,00</v>
      </c>
      <c r="K1518" t="str">
        <f>"R$ 1.485,00"</f>
        <v>R$ 1.485,00</v>
      </c>
    </row>
    <row r="1519" spans="1:11" x14ac:dyDescent="0.25">
      <c r="A1519" t="str">
        <f>"03642461 / 1"</f>
        <v>03642461 / 1</v>
      </c>
      <c r="B1519" t="str">
        <f>"13° Salário Anual"</f>
        <v>13° Salário Anual</v>
      </c>
      <c r="C1519" t="str">
        <f>"Marinete da Rocha Branco"</f>
        <v>Marinete da Rocha Branco</v>
      </c>
      <c r="D1519" t="str">
        <f>"PROFESSOR"</f>
        <v>PROFESSOR</v>
      </c>
      <c r="E1519" t="str">
        <f t="shared" ref="E1519:E1534" si="160">"Efetivo-Inativo I- RJUSM"</f>
        <v>Efetivo-Inativo I- RJUSM</v>
      </c>
      <c r="F1519" t="str">
        <f>"R$ 1.593,46"</f>
        <v>R$ 1.593,46</v>
      </c>
      <c r="G1519" t="str">
        <f>"R$ 1.991,82"</f>
        <v>R$ 1.991,82</v>
      </c>
      <c r="H1519" t="str">
        <f t="shared" si="158"/>
        <v>R$ 0,00</v>
      </c>
      <c r="I1519" t="str">
        <f>"R$ 1.991,82"</f>
        <v>R$ 1.991,82</v>
      </c>
      <c r="J1519" t="str">
        <f>"R$ 995,91"</f>
        <v>R$ 995,91</v>
      </c>
      <c r="K1519" t="str">
        <f>"R$ 995,91"</f>
        <v>R$ 995,91</v>
      </c>
    </row>
    <row r="1520" spans="1:11" x14ac:dyDescent="0.25">
      <c r="A1520" t="str">
        <f>"03642461 / 1"</f>
        <v>03642461 / 1</v>
      </c>
      <c r="B1520" t="str">
        <f>"Folha Mensal"</f>
        <v>Folha Mensal</v>
      </c>
      <c r="C1520" t="str">
        <f>"Marinete da Rocha Branco"</f>
        <v>Marinete da Rocha Branco</v>
      </c>
      <c r="D1520" t="str">
        <f>"PROFESSOR"</f>
        <v>PROFESSOR</v>
      </c>
      <c r="E1520" t="str">
        <f t="shared" si="160"/>
        <v>Efetivo-Inativo I- RJUSM</v>
      </c>
      <c r="F1520" t="str">
        <f>"R$ 1.593,46"</f>
        <v>R$ 1.593,46</v>
      </c>
      <c r="G1520" t="str">
        <f>"R$ 1.991,82"</f>
        <v>R$ 1.991,82</v>
      </c>
      <c r="H1520" t="str">
        <f t="shared" si="158"/>
        <v>R$ 0,00</v>
      </c>
      <c r="I1520" t="str">
        <f>"R$ 1.991,82"</f>
        <v>R$ 1.991,82</v>
      </c>
      <c r="J1520" t="str">
        <f>"R$ 0,00"</f>
        <v>R$ 0,00</v>
      </c>
      <c r="K1520" t="str">
        <f>"R$ 1.991,82"</f>
        <v>R$ 1.991,82</v>
      </c>
    </row>
    <row r="1521" spans="1:11" x14ac:dyDescent="0.25">
      <c r="A1521" t="str">
        <f>"00006033 / 1"</f>
        <v>00006033 / 1</v>
      </c>
      <c r="B1521" t="str">
        <f>"13° Salário Anual"</f>
        <v>13° Salário Anual</v>
      </c>
      <c r="C1521" t="str">
        <f>"Mariney Borges de Carvalho"</f>
        <v>Mariney Borges de Carvalho</v>
      </c>
      <c r="D1521" t="str">
        <f>"PROFESSOR"</f>
        <v>PROFESSOR</v>
      </c>
      <c r="E1521" t="str">
        <f t="shared" si="160"/>
        <v>Efetivo-Inativo I- RJUSM</v>
      </c>
      <c r="F1521" t="str">
        <f>"R$ 2.071,51"</f>
        <v>R$ 2.071,51</v>
      </c>
      <c r="G1521" t="str">
        <f>"R$ 2.589,38"</f>
        <v>R$ 2.589,38</v>
      </c>
      <c r="H1521" t="str">
        <f t="shared" si="158"/>
        <v>R$ 0,00</v>
      </c>
      <c r="I1521" t="str">
        <f>"R$ 2.589,38"</f>
        <v>R$ 2.589,38</v>
      </c>
      <c r="J1521" t="str">
        <f>"R$ 1.294,69"</f>
        <v>R$ 1.294,69</v>
      </c>
      <c r="K1521" t="str">
        <f>"R$ 1.294,69"</f>
        <v>R$ 1.294,69</v>
      </c>
    </row>
    <row r="1522" spans="1:11" x14ac:dyDescent="0.25">
      <c r="A1522" t="str">
        <f>"00006033 / 1"</f>
        <v>00006033 / 1</v>
      </c>
      <c r="B1522" t="str">
        <f>"Folha Mensal"</f>
        <v>Folha Mensal</v>
      </c>
      <c r="C1522" t="str">
        <f>"Mariney Borges de Carvalho"</f>
        <v>Mariney Borges de Carvalho</v>
      </c>
      <c r="D1522" t="str">
        <f>"PROFESSOR"</f>
        <v>PROFESSOR</v>
      </c>
      <c r="E1522" t="str">
        <f t="shared" si="160"/>
        <v>Efetivo-Inativo I- RJUSM</v>
      </c>
      <c r="F1522" t="str">
        <f>"R$ 2.071,51"</f>
        <v>R$ 2.071,51</v>
      </c>
      <c r="G1522" t="str">
        <f>"R$ 2.589,38"</f>
        <v>R$ 2.589,38</v>
      </c>
      <c r="H1522" t="str">
        <f t="shared" si="158"/>
        <v>R$ 0,00</v>
      </c>
      <c r="I1522" t="str">
        <f>"R$ 2.589,38"</f>
        <v>R$ 2.589,38</v>
      </c>
      <c r="J1522" t="str">
        <f>"R$ 672,07"</f>
        <v>R$ 672,07</v>
      </c>
      <c r="K1522" t="str">
        <f>"R$ 1.917,31"</f>
        <v>R$ 1.917,31</v>
      </c>
    </row>
    <row r="1523" spans="1:11" x14ac:dyDescent="0.25">
      <c r="A1523" t="str">
        <f>"00009970 / 1"</f>
        <v>00009970 / 1</v>
      </c>
      <c r="B1523" t="str">
        <f>"13° Salário Anual"</f>
        <v>13° Salário Anual</v>
      </c>
      <c r="C1523" t="str">
        <f>"Marlene de Nazare Goncalves Barata"</f>
        <v>Marlene de Nazare Goncalves Barata</v>
      </c>
      <c r="D1523" t="str">
        <f>"PROP IDADE"</f>
        <v>PROP IDADE</v>
      </c>
      <c r="E1523" t="str">
        <f t="shared" si="160"/>
        <v>Efetivo-Inativo I- RJUSM</v>
      </c>
      <c r="F1523" t="str">
        <f>"R$ 1.100,00"</f>
        <v>R$ 1.100,00</v>
      </c>
      <c r="G1523" t="str">
        <f>"R$ 1.100,00"</f>
        <v>R$ 1.100,00</v>
      </c>
      <c r="H1523" t="str">
        <f t="shared" si="158"/>
        <v>R$ 0,00</v>
      </c>
      <c r="I1523" t="str">
        <f>"R$ 1.100,00"</f>
        <v>R$ 1.100,00</v>
      </c>
      <c r="J1523" t="str">
        <f>"R$ 550,00"</f>
        <v>R$ 550,00</v>
      </c>
      <c r="K1523" t="str">
        <f>"R$ 550,00"</f>
        <v>R$ 550,00</v>
      </c>
    </row>
    <row r="1524" spans="1:11" x14ac:dyDescent="0.25">
      <c r="A1524" t="str">
        <f>"00009970 / 1"</f>
        <v>00009970 / 1</v>
      </c>
      <c r="B1524" t="str">
        <f>"Folha Mensal"</f>
        <v>Folha Mensal</v>
      </c>
      <c r="C1524" t="str">
        <f>"Marlene de Nazare Goncalves Barata"</f>
        <v>Marlene de Nazare Goncalves Barata</v>
      </c>
      <c r="D1524" t="str">
        <f>"PROP IDADE"</f>
        <v>PROP IDADE</v>
      </c>
      <c r="E1524" t="str">
        <f t="shared" si="160"/>
        <v>Efetivo-Inativo I- RJUSM</v>
      </c>
      <c r="F1524" t="str">
        <f>"R$ 1.100,00"</f>
        <v>R$ 1.100,00</v>
      </c>
      <c r="G1524" t="str">
        <f>"R$ 1.100,00"</f>
        <v>R$ 1.100,00</v>
      </c>
      <c r="H1524" t="str">
        <f t="shared" si="158"/>
        <v>R$ 0,00</v>
      </c>
      <c r="I1524" t="str">
        <f>"R$ 1.100,00"</f>
        <v>R$ 1.100,00</v>
      </c>
      <c r="J1524" t="str">
        <f>"R$ 329,89"</f>
        <v>R$ 329,89</v>
      </c>
      <c r="K1524" t="str">
        <f>"R$ 770,11"</f>
        <v>R$ 770,11</v>
      </c>
    </row>
    <row r="1525" spans="1:11" x14ac:dyDescent="0.25">
      <c r="A1525" t="str">
        <f>"00052990 / 2"</f>
        <v>00052990 / 2</v>
      </c>
      <c r="B1525" t="str">
        <f>"13° Salário Anual"</f>
        <v>13° Salário Anual</v>
      </c>
      <c r="C1525" t="str">
        <f>"Marlene de Oliveira Martins"</f>
        <v>Marlene de Oliveira Martins</v>
      </c>
      <c r="D1525" t="str">
        <f>"PROFESSOR NIVEL III"</f>
        <v>PROFESSOR NIVEL III</v>
      </c>
      <c r="E1525" t="str">
        <f t="shared" si="160"/>
        <v>Efetivo-Inativo I- RJUSM</v>
      </c>
      <c r="F1525" t="str">
        <f>"R$ 2.708,90"</f>
        <v>R$ 2.708,90</v>
      </c>
      <c r="G1525" t="str">
        <f>"R$ 3.115,23"</f>
        <v>R$ 3.115,23</v>
      </c>
      <c r="H1525" t="str">
        <f t="shared" si="158"/>
        <v>R$ 0,00</v>
      </c>
      <c r="I1525" t="str">
        <f>"R$ 3.115,23"</f>
        <v>R$ 3.115,23</v>
      </c>
      <c r="J1525" t="str">
        <f>"R$ 1.641,65"</f>
        <v>R$ 1.641,65</v>
      </c>
      <c r="K1525" t="str">
        <f>"R$ 1.473,58"</f>
        <v>R$ 1.473,58</v>
      </c>
    </row>
    <row r="1526" spans="1:11" x14ac:dyDescent="0.25">
      <c r="A1526" t="str">
        <f>"00052990 / 2"</f>
        <v>00052990 / 2</v>
      </c>
      <c r="B1526" t="str">
        <f>"Folha Mensal"</f>
        <v>Folha Mensal</v>
      </c>
      <c r="C1526" t="str">
        <f>"Marlene de Oliveira Martins"</f>
        <v>Marlene de Oliveira Martins</v>
      </c>
      <c r="D1526" t="str">
        <f>"PROFESSOR NIVEL III"</f>
        <v>PROFESSOR NIVEL III</v>
      </c>
      <c r="E1526" t="str">
        <f t="shared" si="160"/>
        <v>Efetivo-Inativo I- RJUSM</v>
      </c>
      <c r="F1526" t="str">
        <f>"R$ 2.708,90"</f>
        <v>R$ 2.708,90</v>
      </c>
      <c r="G1526" t="str">
        <f>"R$ 3.115,23"</f>
        <v>R$ 3.115,23</v>
      </c>
      <c r="H1526" t="str">
        <f t="shared" si="158"/>
        <v>R$ 0,00</v>
      </c>
      <c r="I1526" t="str">
        <f>"R$ 3.115,23"</f>
        <v>R$ 3.115,23</v>
      </c>
      <c r="J1526" t="str">
        <f>"R$ 84,04"</f>
        <v>R$ 84,04</v>
      </c>
      <c r="K1526" t="str">
        <f>"R$ 3.031,19"</f>
        <v>R$ 3.031,19</v>
      </c>
    </row>
    <row r="1527" spans="1:11" x14ac:dyDescent="0.25">
      <c r="A1527" t="str">
        <f>"00013633 / 1"</f>
        <v>00013633 / 1</v>
      </c>
      <c r="B1527" t="str">
        <f>"13° Salário Anual"</f>
        <v>13° Salário Anual</v>
      </c>
      <c r="C1527" t="str">
        <f>"Marlene Jacinto da Silva"</f>
        <v>Marlene Jacinto da Silva</v>
      </c>
      <c r="D1527" t="str">
        <f>"PROFESSOR NIVEL II"</f>
        <v>PROFESSOR NIVEL II</v>
      </c>
      <c r="E1527" t="str">
        <f t="shared" si="160"/>
        <v>Efetivo-Inativo I- RJUSM</v>
      </c>
      <c r="F1527" t="str">
        <f>"R$ 2.854,87"</f>
        <v>R$ 2.854,87</v>
      </c>
      <c r="G1527" t="str">
        <f>"R$ 3.568,58"</f>
        <v>R$ 3.568,58</v>
      </c>
      <c r="H1527" t="str">
        <f t="shared" si="158"/>
        <v>R$ 0,00</v>
      </c>
      <c r="I1527" t="str">
        <f>"R$ 3.568,58"</f>
        <v>R$ 3.568,58</v>
      </c>
      <c r="J1527" t="str">
        <f>"R$ 1.784,29"</f>
        <v>R$ 1.784,29</v>
      </c>
      <c r="K1527" t="str">
        <f>"R$ 1.784,29"</f>
        <v>R$ 1.784,29</v>
      </c>
    </row>
    <row r="1528" spans="1:11" x14ac:dyDescent="0.25">
      <c r="A1528" t="str">
        <f>"00013633 / 1"</f>
        <v>00013633 / 1</v>
      </c>
      <c r="B1528" t="str">
        <f>"Folha Mensal"</f>
        <v>Folha Mensal</v>
      </c>
      <c r="C1528" t="str">
        <f>"Marlene Jacinto da Silva"</f>
        <v>Marlene Jacinto da Silva</v>
      </c>
      <c r="D1528" t="str">
        <f>"PROFESSOR NIVEL II"</f>
        <v>PROFESSOR NIVEL II</v>
      </c>
      <c r="E1528" t="str">
        <f t="shared" si="160"/>
        <v>Efetivo-Inativo I- RJUSM</v>
      </c>
      <c r="F1528" t="str">
        <f>"R$ 2.854,87"</f>
        <v>R$ 2.854,87</v>
      </c>
      <c r="G1528" t="str">
        <f>"R$ 3.568,58"</f>
        <v>R$ 3.568,58</v>
      </c>
      <c r="H1528" t="str">
        <f t="shared" si="158"/>
        <v>R$ 0,00</v>
      </c>
      <c r="I1528" t="str">
        <f>"R$ 3.568,58"</f>
        <v>R$ 3.568,58</v>
      </c>
      <c r="J1528" t="str">
        <f>"R$ 0,00"</f>
        <v>R$ 0,00</v>
      </c>
      <c r="K1528" t="str">
        <f>"R$ 3.568,58"</f>
        <v>R$ 3.568,58</v>
      </c>
    </row>
    <row r="1529" spans="1:11" x14ac:dyDescent="0.25">
      <c r="A1529" t="str">
        <f>"00027375 / 2"</f>
        <v>00027375 / 2</v>
      </c>
      <c r="B1529" t="str">
        <f>"13° Salário Anual"</f>
        <v>13° Salário Anual</v>
      </c>
      <c r="C1529" t="str">
        <f>"Marluce Oliveira do Vale"</f>
        <v>Marluce Oliveira do Vale</v>
      </c>
      <c r="D1529" t="str">
        <f>"PROFESSOR NIVEL I"</f>
        <v>PROFESSOR NIVEL I</v>
      </c>
      <c r="E1529" t="str">
        <f t="shared" si="160"/>
        <v>Efetivo-Inativo I- RJUSM</v>
      </c>
      <c r="F1529" t="str">
        <f>"R$ 1.593,37"</f>
        <v>R$ 1.593,37</v>
      </c>
      <c r="G1529" t="str">
        <f>"R$ 1.991,71"</f>
        <v>R$ 1.991,71</v>
      </c>
      <c r="H1529" t="str">
        <f t="shared" si="158"/>
        <v>R$ 0,00</v>
      </c>
      <c r="I1529" t="str">
        <f>"R$ 1.991,71"</f>
        <v>R$ 1.991,71</v>
      </c>
      <c r="J1529" t="str">
        <f>"R$ 1.002,42"</f>
        <v>R$ 1.002,42</v>
      </c>
      <c r="K1529" t="str">
        <f>"R$ 989,29"</f>
        <v>R$ 989,29</v>
      </c>
    </row>
    <row r="1530" spans="1:11" x14ac:dyDescent="0.25">
      <c r="A1530" t="str">
        <f>"00027375 / 2"</f>
        <v>00027375 / 2</v>
      </c>
      <c r="B1530" t="str">
        <f>"Folha Mensal"</f>
        <v>Folha Mensal</v>
      </c>
      <c r="C1530" t="str">
        <f>"Marluce Oliveira do Vale"</f>
        <v>Marluce Oliveira do Vale</v>
      </c>
      <c r="D1530" t="str">
        <f>"PROFESSOR NIVEL I"</f>
        <v>PROFESSOR NIVEL I</v>
      </c>
      <c r="E1530" t="str">
        <f t="shared" si="160"/>
        <v>Efetivo-Inativo I- RJUSM</v>
      </c>
      <c r="F1530" t="str">
        <f>"R$ 1.593,37"</f>
        <v>R$ 1.593,37</v>
      </c>
      <c r="G1530" t="str">
        <f>"R$ 1.991,71"</f>
        <v>R$ 1.991,71</v>
      </c>
      <c r="H1530" t="str">
        <f t="shared" si="158"/>
        <v>R$ 0,00</v>
      </c>
      <c r="I1530" t="str">
        <f>"R$ 1.991,71"</f>
        <v>R$ 1.991,71</v>
      </c>
      <c r="J1530" t="str">
        <f>"R$ 6,57"</f>
        <v>R$ 6,57</v>
      </c>
      <c r="K1530" t="str">
        <f>"R$ 1.985,14"</f>
        <v>R$ 1.985,14</v>
      </c>
    </row>
    <row r="1531" spans="1:11" x14ac:dyDescent="0.25">
      <c r="A1531" t="str">
        <f>"00001651 / 1"</f>
        <v>00001651 / 1</v>
      </c>
      <c r="B1531" t="str">
        <f>"13° Salário Anual"</f>
        <v>13° Salário Anual</v>
      </c>
      <c r="C1531" t="str">
        <f>"Marluci do Socorro Silva Ferreira"</f>
        <v>Marluci do Socorro Silva Ferreira</v>
      </c>
      <c r="D1531" t="str">
        <f>"PROFESSOR"</f>
        <v>PROFESSOR</v>
      </c>
      <c r="E1531" t="str">
        <f t="shared" si="160"/>
        <v>Efetivo-Inativo I- RJUSM</v>
      </c>
      <c r="F1531" t="str">
        <f>"R$ 2.257,40"</f>
        <v>R$ 2.257,40</v>
      </c>
      <c r="G1531" t="str">
        <f>"R$ 2.934,62"</f>
        <v>R$ 2.934,62</v>
      </c>
      <c r="H1531" t="str">
        <f t="shared" si="158"/>
        <v>R$ 0,00</v>
      </c>
      <c r="I1531" t="str">
        <f>"R$ 2.934,62"</f>
        <v>R$ 2.934,62</v>
      </c>
      <c r="J1531" t="str">
        <f>"R$ 1.552,70"</f>
        <v>R$ 1.552,70</v>
      </c>
      <c r="K1531" t="str">
        <f>"R$ 1.381,92"</f>
        <v>R$ 1.381,92</v>
      </c>
    </row>
    <row r="1532" spans="1:11" x14ac:dyDescent="0.25">
      <c r="A1532" t="str">
        <f>"00001651 / 1"</f>
        <v>00001651 / 1</v>
      </c>
      <c r="B1532" t="str">
        <f>"Folha Mensal"</f>
        <v>Folha Mensal</v>
      </c>
      <c r="C1532" t="str">
        <f>"Marluci do Socorro Silva Ferreira"</f>
        <v>Marluci do Socorro Silva Ferreira</v>
      </c>
      <c r="D1532" t="str">
        <f>"PROFESSOR"</f>
        <v>PROFESSOR</v>
      </c>
      <c r="E1532" t="str">
        <f t="shared" si="160"/>
        <v>Efetivo-Inativo I- RJUSM</v>
      </c>
      <c r="F1532" t="str">
        <f>"R$ 2.257,40"</f>
        <v>R$ 2.257,40</v>
      </c>
      <c r="G1532" t="str">
        <f>"R$ 2.934,62"</f>
        <v>R$ 2.934,62</v>
      </c>
      <c r="H1532" t="str">
        <f t="shared" si="158"/>
        <v>R$ 0,00</v>
      </c>
      <c r="I1532" t="str">
        <f>"R$ 2.934,62"</f>
        <v>R$ 2.934,62</v>
      </c>
      <c r="J1532" t="str">
        <f>"R$ 1.077,37"</f>
        <v>R$ 1.077,37</v>
      </c>
      <c r="K1532" t="str">
        <f>"R$ 1.857,25"</f>
        <v>R$ 1.857,25</v>
      </c>
    </row>
    <row r="1533" spans="1:11" x14ac:dyDescent="0.25">
      <c r="A1533" t="str">
        <f>"00032824 / 1"</f>
        <v>00032824 / 1</v>
      </c>
      <c r="B1533" t="str">
        <f>"13° Salário Anual"</f>
        <v>13° Salário Anual</v>
      </c>
      <c r="C1533" t="str">
        <f>"Marlucia Cardoso Lima de Moraes"</f>
        <v>Marlucia Cardoso Lima de Moraes</v>
      </c>
      <c r="D1533" t="str">
        <f>"INT TEMP CONTRIBUICAO"</f>
        <v>INT TEMP CONTRIBUICAO</v>
      </c>
      <c r="E1533" t="str">
        <f t="shared" si="160"/>
        <v>Efetivo-Inativo I- RJUSM</v>
      </c>
      <c r="F1533" t="str">
        <f>"R$ 1.529,68"</f>
        <v>R$ 1.529,68</v>
      </c>
      <c r="G1533" t="str">
        <f>"R$ 1.835,61"</f>
        <v>R$ 1.835,61</v>
      </c>
      <c r="H1533" t="str">
        <f t="shared" si="158"/>
        <v>R$ 0,00</v>
      </c>
      <c r="I1533" t="str">
        <f>"R$ 1.835,61"</f>
        <v>R$ 1.835,61</v>
      </c>
      <c r="J1533" t="str">
        <f>"R$ 917,80"</f>
        <v>R$ 917,80</v>
      </c>
      <c r="K1533" t="str">
        <f>"R$ 917,81"</f>
        <v>R$ 917,81</v>
      </c>
    </row>
    <row r="1534" spans="1:11" x14ac:dyDescent="0.25">
      <c r="A1534" t="str">
        <f>"00032824 / 1"</f>
        <v>00032824 / 1</v>
      </c>
      <c r="B1534" t="str">
        <f>"Folha Mensal"</f>
        <v>Folha Mensal</v>
      </c>
      <c r="C1534" t="str">
        <f>"Marlucia Cardoso Lima de Moraes"</f>
        <v>Marlucia Cardoso Lima de Moraes</v>
      </c>
      <c r="D1534" t="str">
        <f>"INT TEMP CONTRIBUICAO"</f>
        <v>INT TEMP CONTRIBUICAO</v>
      </c>
      <c r="E1534" t="str">
        <f t="shared" si="160"/>
        <v>Efetivo-Inativo I- RJUSM</v>
      </c>
      <c r="F1534" t="str">
        <f>"R$ 1.529,68"</f>
        <v>R$ 1.529,68</v>
      </c>
      <c r="G1534" t="str">
        <f>"R$ 1.835,61"</f>
        <v>R$ 1.835,61</v>
      </c>
      <c r="H1534" t="str">
        <f t="shared" si="158"/>
        <v>R$ 0,00</v>
      </c>
      <c r="I1534" t="str">
        <f>"R$ 1.835,61"</f>
        <v>R$ 1.835,61</v>
      </c>
      <c r="J1534" t="str">
        <f>"R$ 549,93"</f>
        <v>R$ 549,93</v>
      </c>
      <c r="K1534" t="str">
        <f>"R$ 1.285,68"</f>
        <v>R$ 1.285,68</v>
      </c>
    </row>
    <row r="1535" spans="1:11" x14ac:dyDescent="0.25">
      <c r="A1535" t="str">
        <f>"03641163 / 1"</f>
        <v>03641163 / 1</v>
      </c>
      <c r="B1535" t="str">
        <f>"13° Salário Anual"</f>
        <v>13° Salário Anual</v>
      </c>
      <c r="C1535" t="str">
        <f>"Marta Helena Pantoja Guerreiro"</f>
        <v>Marta Helena Pantoja Guerreiro</v>
      </c>
      <c r="D1535" t="str">
        <f>"DAS 05"</f>
        <v>DAS 05</v>
      </c>
      <c r="E1535" t="str">
        <f>"Comissionado"</f>
        <v>Comissionado</v>
      </c>
      <c r="F1535" t="str">
        <f>"R$ 2.025,00"</f>
        <v>R$ 2.025,00</v>
      </c>
      <c r="G1535" t="str">
        <f>"R$ 1.518,75"</f>
        <v>R$ 1.518,75</v>
      </c>
      <c r="H1535" t="str">
        <f t="shared" si="158"/>
        <v>R$ 0,00</v>
      </c>
      <c r="I1535" t="str">
        <f>"R$ 1.518,75"</f>
        <v>R$ 1.518,75</v>
      </c>
      <c r="J1535" t="str">
        <f>"R$ 879,55"</f>
        <v>R$ 879,55</v>
      </c>
      <c r="K1535" t="str">
        <f>"R$ 639,20"</f>
        <v>R$ 639,20</v>
      </c>
    </row>
    <row r="1536" spans="1:11" x14ac:dyDescent="0.25">
      <c r="A1536" t="str">
        <f>"03641163 / 1"</f>
        <v>03641163 / 1</v>
      </c>
      <c r="B1536" t="str">
        <f>"Folha Mensal"</f>
        <v>Folha Mensal</v>
      </c>
      <c r="C1536" t="str">
        <f>"Marta Helena Pantoja Guerreiro"</f>
        <v>Marta Helena Pantoja Guerreiro</v>
      </c>
      <c r="D1536" t="str">
        <f>"DAS 05"</f>
        <v>DAS 05</v>
      </c>
      <c r="E1536" t="str">
        <f>"Comissionado"</f>
        <v>Comissionado</v>
      </c>
      <c r="F1536" t="str">
        <f>"R$ 2.025,00"</f>
        <v>R$ 2.025,00</v>
      </c>
      <c r="G1536" t="str">
        <f>"R$ 2.025,00"</f>
        <v>R$ 2.025,00</v>
      </c>
      <c r="H1536" t="str">
        <f t="shared" si="158"/>
        <v>R$ 0,00</v>
      </c>
      <c r="I1536" t="str">
        <f>"R$ 2.025,00"</f>
        <v>R$ 2.025,00</v>
      </c>
      <c r="J1536" t="str">
        <f>"R$ 165,75"</f>
        <v>R$ 165,75</v>
      </c>
      <c r="K1536" t="str">
        <f>"R$ 1.859,25"</f>
        <v>R$ 1.859,25</v>
      </c>
    </row>
    <row r="1537" spans="1:11" x14ac:dyDescent="0.25">
      <c r="A1537" t="str">
        <f>"00054151 / 1"</f>
        <v>00054151 / 1</v>
      </c>
      <c r="B1537" t="str">
        <f>"13° Salário Anual"</f>
        <v>13° Salário Anual</v>
      </c>
      <c r="C1537" t="str">
        <f>"Marta Pereira Pontes"</f>
        <v>Marta Pereira Pontes</v>
      </c>
      <c r="D1537" t="str">
        <f>"PROFESSOR NIVEL III"</f>
        <v>PROFESSOR NIVEL III</v>
      </c>
      <c r="E1537" t="str">
        <f>"Efetivo-Inativos II-RJUSM"</f>
        <v>Efetivo-Inativos II-RJUSM</v>
      </c>
      <c r="F1537" t="str">
        <f>"R$ 4.647,62"</f>
        <v>R$ 4.647,62</v>
      </c>
      <c r="G1537" t="str">
        <f>"R$ 8.365,71"</f>
        <v>R$ 8.365,71</v>
      </c>
      <c r="H1537" t="str">
        <f t="shared" si="158"/>
        <v>R$ 0,00</v>
      </c>
      <c r="I1537" t="str">
        <f>"R$ 8.365,71"</f>
        <v>R$ 8.365,71</v>
      </c>
      <c r="J1537" t="str">
        <f>"R$ 5.379,16"</f>
        <v>R$ 5.379,16</v>
      </c>
      <c r="K1537" t="str">
        <f>"R$ 2.986,55"</f>
        <v>R$ 2.986,55</v>
      </c>
    </row>
    <row r="1538" spans="1:11" x14ac:dyDescent="0.25">
      <c r="A1538" t="str">
        <f>"00054151 / 1"</f>
        <v>00054151 / 1</v>
      </c>
      <c r="B1538" t="str">
        <f>"Folha Mensal"</f>
        <v>Folha Mensal</v>
      </c>
      <c r="C1538" t="str">
        <f>"Marta Pereira Pontes"</f>
        <v>Marta Pereira Pontes</v>
      </c>
      <c r="D1538" t="str">
        <f>"PROFESSOR NIVEL III"</f>
        <v>PROFESSOR NIVEL III</v>
      </c>
      <c r="E1538" t="str">
        <f>"Efetivo-Inativos II-RJUSM"</f>
        <v>Efetivo-Inativos II-RJUSM</v>
      </c>
      <c r="F1538" t="str">
        <f>"R$ 4.647,62"</f>
        <v>R$ 4.647,62</v>
      </c>
      <c r="G1538" t="str">
        <f>"R$ 8.365,71"</f>
        <v>R$ 8.365,71</v>
      </c>
      <c r="H1538" t="str">
        <f t="shared" si="158"/>
        <v>R$ 0,00</v>
      </c>
      <c r="I1538" t="str">
        <f>"R$ 8.365,71"</f>
        <v>R$ 8.365,71</v>
      </c>
      <c r="J1538" t="str">
        <f>"R$ 3.204,40"</f>
        <v>R$ 3.204,40</v>
      </c>
      <c r="K1538" t="str">
        <f>"R$ 5.161,31"</f>
        <v>R$ 5.161,31</v>
      </c>
    </row>
    <row r="1539" spans="1:11" x14ac:dyDescent="0.25">
      <c r="A1539" t="str">
        <f>"00010510 / 1"</f>
        <v>00010510 / 1</v>
      </c>
      <c r="B1539" t="str">
        <f>"13° Salário Anual"</f>
        <v>13° Salário Anual</v>
      </c>
      <c r="C1539" t="str">
        <f>"Martinha Nazare Santos"</f>
        <v>Martinha Nazare Santos</v>
      </c>
      <c r="D1539" t="str">
        <f>"PROFESSOR"</f>
        <v>PROFESSOR</v>
      </c>
      <c r="E1539" t="str">
        <f>"Efetivo-Inativo I- RJUSM"</f>
        <v>Efetivo-Inativo I- RJUSM</v>
      </c>
      <c r="F1539" t="str">
        <f>"R$ 2.071,51"</f>
        <v>R$ 2.071,51</v>
      </c>
      <c r="G1539" t="str">
        <f>"R$ 2.589,38"</f>
        <v>R$ 2.589,38</v>
      </c>
      <c r="H1539" t="str">
        <f t="shared" si="158"/>
        <v>R$ 0,00</v>
      </c>
      <c r="I1539" t="str">
        <f>"R$ 2.589,38"</f>
        <v>R$ 2.589,38</v>
      </c>
      <c r="J1539" t="str">
        <f>"R$ 1.294,69"</f>
        <v>R$ 1.294,69</v>
      </c>
      <c r="K1539" t="str">
        <f>"R$ 1.294,69"</f>
        <v>R$ 1.294,69</v>
      </c>
    </row>
    <row r="1540" spans="1:11" x14ac:dyDescent="0.25">
      <c r="A1540" t="str">
        <f>"00010510 / 1"</f>
        <v>00010510 / 1</v>
      </c>
      <c r="B1540" t="str">
        <f>"Folha Mensal"</f>
        <v>Folha Mensal</v>
      </c>
      <c r="C1540" t="str">
        <f>"Martinha Nazare Santos"</f>
        <v>Martinha Nazare Santos</v>
      </c>
      <c r="D1540" t="str">
        <f>"PROFESSOR"</f>
        <v>PROFESSOR</v>
      </c>
      <c r="E1540" t="str">
        <f>"Efetivo-Inativo I- RJUSM"</f>
        <v>Efetivo-Inativo I- RJUSM</v>
      </c>
      <c r="F1540" t="str">
        <f>"R$ 2.071,51"</f>
        <v>R$ 2.071,51</v>
      </c>
      <c r="G1540" t="str">
        <f>"R$ 2.589,38"</f>
        <v>R$ 2.589,38</v>
      </c>
      <c r="H1540" t="str">
        <f t="shared" si="158"/>
        <v>R$ 0,00</v>
      </c>
      <c r="I1540" t="str">
        <f>"R$ 2.589,38"</f>
        <v>R$ 2.589,38</v>
      </c>
      <c r="J1540" t="str">
        <f>"R$ 900,14"</f>
        <v>R$ 900,14</v>
      </c>
      <c r="K1540" t="str">
        <f>"R$ 1.689,24"</f>
        <v>R$ 1.689,24</v>
      </c>
    </row>
    <row r="1541" spans="1:11" x14ac:dyDescent="0.25">
      <c r="A1541" t="str">
        <f>"00002208 / 1"</f>
        <v>00002208 / 1</v>
      </c>
      <c r="B1541" t="str">
        <f>"13° Salário Anual"</f>
        <v>13° Salário Anual</v>
      </c>
      <c r="C1541" t="str">
        <f>"Mary Miranda da Rosa"</f>
        <v>Mary Miranda da Rosa</v>
      </c>
      <c r="D1541" t="str">
        <f>"PROFESSOR"</f>
        <v>PROFESSOR</v>
      </c>
      <c r="E1541" t="str">
        <f>"Efetivo-Inativo I- RJUSM"</f>
        <v>Efetivo-Inativo I- RJUSM</v>
      </c>
      <c r="F1541" t="str">
        <f>"R$ 1.593,46"</f>
        <v>R$ 1.593,46</v>
      </c>
      <c r="G1541" t="str">
        <f>"R$ 1.912,15"</f>
        <v>R$ 1.912,15</v>
      </c>
      <c r="H1541" t="str">
        <f t="shared" si="158"/>
        <v>R$ 0,00</v>
      </c>
      <c r="I1541" t="str">
        <f>"R$ 1.912,15"</f>
        <v>R$ 1.912,15</v>
      </c>
      <c r="J1541" t="str">
        <f>"R$ 956,07"</f>
        <v>R$ 956,07</v>
      </c>
      <c r="K1541" t="str">
        <f>"R$ 956,08"</f>
        <v>R$ 956,08</v>
      </c>
    </row>
    <row r="1542" spans="1:11" x14ac:dyDescent="0.25">
      <c r="A1542" t="str">
        <f>"00002208 / 1"</f>
        <v>00002208 / 1</v>
      </c>
      <c r="B1542" t="str">
        <f>"Folha Mensal"</f>
        <v>Folha Mensal</v>
      </c>
      <c r="C1542" t="str">
        <f>"Mary Miranda da Rosa"</f>
        <v>Mary Miranda da Rosa</v>
      </c>
      <c r="D1542" t="str">
        <f>"PROFESSOR"</f>
        <v>PROFESSOR</v>
      </c>
      <c r="E1542" t="str">
        <f>"Efetivo-Inativo I- RJUSM"</f>
        <v>Efetivo-Inativo I- RJUSM</v>
      </c>
      <c r="F1542" t="str">
        <f>"R$ 1.593,46"</f>
        <v>R$ 1.593,46</v>
      </c>
      <c r="G1542" t="str">
        <f>"R$ 1.912,15"</f>
        <v>R$ 1.912,15</v>
      </c>
      <c r="H1542" t="str">
        <f t="shared" si="158"/>
        <v>R$ 0,00</v>
      </c>
      <c r="I1542" t="str">
        <f>"R$ 1.912,15"</f>
        <v>R$ 1.912,15</v>
      </c>
      <c r="J1542" t="str">
        <f>"R$ 328,75"</f>
        <v>R$ 328,75</v>
      </c>
      <c r="K1542" t="str">
        <f>"R$ 1.583,40"</f>
        <v>R$ 1.583,40</v>
      </c>
    </row>
    <row r="1543" spans="1:11" x14ac:dyDescent="0.25">
      <c r="A1543" t="str">
        <f>"03641570 / 1"</f>
        <v>03641570 / 1</v>
      </c>
      <c r="B1543" t="str">
        <f>"13° Salário Anual"</f>
        <v>13° Salário Anual</v>
      </c>
      <c r="C1543" t="str">
        <f>"Matheus Fabio Freitas Farias da Silva"</f>
        <v>Matheus Fabio Freitas Farias da Silva</v>
      </c>
      <c r="D1543" t="str">
        <f>"PENS TEMP ATE 20/03/24"</f>
        <v>PENS TEMP ATE 20/03/24</v>
      </c>
      <c r="E1543" t="str">
        <f>"Pensionista"</f>
        <v>Pensionista</v>
      </c>
      <c r="F1543" t="str">
        <f>"R$ 1.799,61"</f>
        <v>R$ 1.799,61</v>
      </c>
      <c r="G1543" t="str">
        <f>"R$ 2.159,53"</f>
        <v>R$ 2.159,53</v>
      </c>
      <c r="H1543" t="str">
        <f t="shared" si="158"/>
        <v>R$ 0,00</v>
      </c>
      <c r="I1543" t="str">
        <f>"R$ 2.159,53"</f>
        <v>R$ 2.159,53</v>
      </c>
      <c r="J1543" t="str">
        <f>"R$ 1.098,92"</f>
        <v>R$ 1.098,92</v>
      </c>
      <c r="K1543" t="str">
        <f>"R$ 1.060,61"</f>
        <v>R$ 1.060,61</v>
      </c>
    </row>
    <row r="1544" spans="1:11" x14ac:dyDescent="0.25">
      <c r="A1544" t="str">
        <f>"03641570 / 1"</f>
        <v>03641570 / 1</v>
      </c>
      <c r="B1544" t="str">
        <f>"Folha Mensal"</f>
        <v>Folha Mensal</v>
      </c>
      <c r="C1544" t="str">
        <f>"Matheus Fabio Freitas Farias da Silva"</f>
        <v>Matheus Fabio Freitas Farias da Silva</v>
      </c>
      <c r="D1544" t="str">
        <f>"PENS TEMP ATE 20/03/24"</f>
        <v>PENS TEMP ATE 20/03/24</v>
      </c>
      <c r="E1544" t="str">
        <f>"Pensionista"</f>
        <v>Pensionista</v>
      </c>
      <c r="F1544" t="str">
        <f>"R$ 1.799,61"</f>
        <v>R$ 1.799,61</v>
      </c>
      <c r="G1544" t="str">
        <f>"R$ 2.159,53"</f>
        <v>R$ 2.159,53</v>
      </c>
      <c r="H1544" t="str">
        <f t="shared" si="158"/>
        <v>R$ 0,00</v>
      </c>
      <c r="I1544" t="str">
        <f>"R$ 2.159,53"</f>
        <v>R$ 2.159,53</v>
      </c>
      <c r="J1544" t="str">
        <f>"R$ 19,16"</f>
        <v>R$ 19,16</v>
      </c>
      <c r="K1544" t="str">
        <f>"R$ 2.140,37"</f>
        <v>R$ 2.140,37</v>
      </c>
    </row>
    <row r="1545" spans="1:11" x14ac:dyDescent="0.25">
      <c r="A1545" t="str">
        <f>"00040762 / 1"</f>
        <v>00040762 / 1</v>
      </c>
      <c r="B1545" t="str">
        <f>"13° Salário Anual"</f>
        <v>13° Salário Anual</v>
      </c>
      <c r="C1545" t="str">
        <f>"Matilde Marinho de Araujo"</f>
        <v>Matilde Marinho de Araujo</v>
      </c>
      <c r="D1545" t="str">
        <f>"PROFESSOR"</f>
        <v>PROFESSOR</v>
      </c>
      <c r="E1545" t="str">
        <f>"Efetivo-Inativo I- RJUSM"</f>
        <v>Efetivo-Inativo I- RJUSM</v>
      </c>
      <c r="F1545" t="str">
        <f>"R$ 2.721,00"</f>
        <v>R$ 2.721,00</v>
      </c>
      <c r="G1545" t="str">
        <f>"R$ 5.224,32"</f>
        <v>R$ 5.224,32</v>
      </c>
      <c r="H1545" t="str">
        <f t="shared" si="158"/>
        <v>R$ 0,00</v>
      </c>
      <c r="I1545" t="str">
        <f>"R$ 5.224,32"</f>
        <v>R$ 5.224,32</v>
      </c>
      <c r="J1545" t="str">
        <f>"R$ 2.176,80"</f>
        <v>R$ 2.176,80</v>
      </c>
      <c r="K1545" t="str">
        <f>"R$ 3.047,52"</f>
        <v>R$ 3.047,52</v>
      </c>
    </row>
    <row r="1546" spans="1:11" x14ac:dyDescent="0.25">
      <c r="A1546" t="str">
        <f>"00040762 / 1"</f>
        <v>00040762 / 1</v>
      </c>
      <c r="B1546" t="str">
        <f>"Folha Mensal"</f>
        <v>Folha Mensal</v>
      </c>
      <c r="C1546" t="str">
        <f>"Matilde Marinho de Araujo"</f>
        <v>Matilde Marinho de Araujo</v>
      </c>
      <c r="D1546" t="str">
        <f>"PROFESSOR"</f>
        <v>PROFESSOR</v>
      </c>
      <c r="E1546" t="str">
        <f>"Efetivo-Inativo I- RJUSM"</f>
        <v>Efetivo-Inativo I- RJUSM</v>
      </c>
      <c r="F1546" t="str">
        <f>"R$ 2.721,00"</f>
        <v>R$ 2.721,00</v>
      </c>
      <c r="G1546" t="str">
        <f>"R$ 5.224,32"</f>
        <v>R$ 5.224,32</v>
      </c>
      <c r="H1546" t="str">
        <f t="shared" si="158"/>
        <v>R$ 0,00</v>
      </c>
      <c r="I1546" t="str">
        <f>"R$ 5.224,32"</f>
        <v>R$ 5.224,32</v>
      </c>
      <c r="J1546" t="str">
        <f>"R$ 0,00"</f>
        <v>R$ 0,00</v>
      </c>
      <c r="K1546" t="str">
        <f>"R$ 5.224,32"</f>
        <v>R$ 5.224,32</v>
      </c>
    </row>
    <row r="1547" spans="1:11" x14ac:dyDescent="0.25">
      <c r="A1547" t="str">
        <f>"00000949 / 1"</f>
        <v>00000949 / 1</v>
      </c>
      <c r="B1547" t="str">
        <f>"13° Salário Anual"</f>
        <v>13° Salário Anual</v>
      </c>
      <c r="C1547" t="str">
        <f>"Matilde Sousa Rosa Cruz"</f>
        <v>Matilde Sousa Rosa Cruz</v>
      </c>
      <c r="D1547" t="str">
        <f>"PROFESSOR"</f>
        <v>PROFESSOR</v>
      </c>
      <c r="E1547" t="str">
        <f>"Efetivo-Inativo I- RJUSM"</f>
        <v>Efetivo-Inativo I- RJUSM</v>
      </c>
      <c r="F1547" t="str">
        <f>"R$ 2.071,51"</f>
        <v>R$ 2.071,51</v>
      </c>
      <c r="G1547" t="str">
        <f>"R$ 2.589,38"</f>
        <v>R$ 2.589,38</v>
      </c>
      <c r="H1547" t="str">
        <f t="shared" si="158"/>
        <v>R$ 0,00</v>
      </c>
      <c r="I1547" t="str">
        <f>"R$ 2.589,38"</f>
        <v>R$ 2.589,38</v>
      </c>
      <c r="J1547" t="str">
        <f>"R$ 1.331,87"</f>
        <v>R$ 1.331,87</v>
      </c>
      <c r="K1547" t="str">
        <f>"R$ 1.257,51"</f>
        <v>R$ 1.257,51</v>
      </c>
    </row>
    <row r="1548" spans="1:11" x14ac:dyDescent="0.25">
      <c r="A1548" t="str">
        <f>"00000949 / 1"</f>
        <v>00000949 / 1</v>
      </c>
      <c r="B1548" t="str">
        <f>"Folha Mensal"</f>
        <v>Folha Mensal</v>
      </c>
      <c r="C1548" t="str">
        <f>"Matilde Sousa Rosa Cruz"</f>
        <v>Matilde Sousa Rosa Cruz</v>
      </c>
      <c r="D1548" t="str">
        <f>"PROFESSOR"</f>
        <v>PROFESSOR</v>
      </c>
      <c r="E1548" t="str">
        <f>"Efetivo-Inativo I- RJUSM"</f>
        <v>Efetivo-Inativo I- RJUSM</v>
      </c>
      <c r="F1548" t="str">
        <f>"R$ 2.071,51"</f>
        <v>R$ 2.071,51</v>
      </c>
      <c r="G1548" t="str">
        <f>"R$ 2.589,38"</f>
        <v>R$ 2.589,38</v>
      </c>
      <c r="H1548" t="str">
        <f t="shared" si="158"/>
        <v>R$ 0,00</v>
      </c>
      <c r="I1548" t="str">
        <f>"R$ 2.589,38"</f>
        <v>R$ 2.589,38</v>
      </c>
      <c r="J1548" t="str">
        <f>"R$ 37,18"</f>
        <v>R$ 37,18</v>
      </c>
      <c r="K1548" t="str">
        <f>"R$ 2.552,20"</f>
        <v>R$ 2.552,20</v>
      </c>
    </row>
    <row r="1549" spans="1:11" x14ac:dyDescent="0.25">
      <c r="A1549" t="str">
        <f>"00023914 / 1"</f>
        <v>00023914 / 1</v>
      </c>
      <c r="B1549" t="str">
        <f>"13° Salário Anual"</f>
        <v>13° Salário Anual</v>
      </c>
      <c r="C1549" t="str">
        <f>"Maura de Nazare Palheta de Morais"</f>
        <v>Maura de Nazare Palheta de Morais</v>
      </c>
      <c r="D1549" t="str">
        <f>"PROFESSOR NIVEL II"</f>
        <v>PROFESSOR NIVEL II</v>
      </c>
      <c r="E1549" t="str">
        <f>"Efetivo-Inativos II-RJUSM"</f>
        <v>Efetivo-Inativos II-RJUSM</v>
      </c>
      <c r="F1549" t="str">
        <f>"R$ 5.736,47"</f>
        <v>R$ 5.736,47</v>
      </c>
      <c r="G1549" t="str">
        <f>"R$ 7.457,41"</f>
        <v>R$ 7.457,41</v>
      </c>
      <c r="H1549" t="str">
        <f t="shared" si="158"/>
        <v>R$ 0,00</v>
      </c>
      <c r="I1549" t="str">
        <f>"R$ 7.457,41"</f>
        <v>R$ 7.457,41</v>
      </c>
      <c r="J1549" t="str">
        <f>"R$ 5.047,79"</f>
        <v>R$ 5.047,79</v>
      </c>
      <c r="K1549" t="str">
        <f>"R$ 2.409,62"</f>
        <v>R$ 2.409,62</v>
      </c>
    </row>
    <row r="1550" spans="1:11" x14ac:dyDescent="0.25">
      <c r="A1550" t="str">
        <f>"00023914 / 1"</f>
        <v>00023914 / 1</v>
      </c>
      <c r="B1550" t="str">
        <f>"Folha Mensal"</f>
        <v>Folha Mensal</v>
      </c>
      <c r="C1550" t="str">
        <f>"Maura de Nazare Palheta de Morais"</f>
        <v>Maura de Nazare Palheta de Morais</v>
      </c>
      <c r="D1550" t="str">
        <f>"PROFESSOR NIVEL II"</f>
        <v>PROFESSOR NIVEL II</v>
      </c>
      <c r="E1550" t="str">
        <f>"Efetivo-Inativos II-RJUSM"</f>
        <v>Efetivo-Inativos II-RJUSM</v>
      </c>
      <c r="F1550" t="str">
        <f>"R$ 5.736,47"</f>
        <v>R$ 5.736,47</v>
      </c>
      <c r="G1550" t="str">
        <f>"R$ 7.457,41"</f>
        <v>R$ 7.457,41</v>
      </c>
      <c r="H1550" t="str">
        <f t="shared" si="158"/>
        <v>R$ 0,00</v>
      </c>
      <c r="I1550" t="str">
        <f>"R$ 7.457,41"</f>
        <v>R$ 7.457,41</v>
      </c>
      <c r="J1550" t="str">
        <f>"R$ 3.004,50"</f>
        <v>R$ 3.004,50</v>
      </c>
      <c r="K1550" t="str">
        <f>"R$ 4.452,91"</f>
        <v>R$ 4.452,91</v>
      </c>
    </row>
    <row r="1551" spans="1:11" x14ac:dyDescent="0.25">
      <c r="A1551" t="str">
        <f>"03641260 / 1"</f>
        <v>03641260 / 1</v>
      </c>
      <c r="B1551" t="str">
        <f>"13° Salário Anual"</f>
        <v>13° Salário Anual</v>
      </c>
      <c r="C1551" t="str">
        <f>"Mauro da Silva Brasil"</f>
        <v>Mauro da Silva Brasil</v>
      </c>
      <c r="D1551" t="str">
        <f>"DAS 05"</f>
        <v>DAS 05</v>
      </c>
      <c r="E1551" t="str">
        <f>"Comissionado"</f>
        <v>Comissionado</v>
      </c>
      <c r="F1551" t="str">
        <f>"R$ 2.025,00"</f>
        <v>R$ 2.025,00</v>
      </c>
      <c r="G1551" t="str">
        <f>"R$ 1.350,00"</f>
        <v>R$ 1.350,00</v>
      </c>
      <c r="H1551" t="str">
        <f t="shared" si="158"/>
        <v>R$ 0,00</v>
      </c>
      <c r="I1551" t="str">
        <f>"R$ 1.350,00"</f>
        <v>R$ 1.350,00</v>
      </c>
      <c r="J1551" t="str">
        <f>"R$ 780,00"</f>
        <v>R$ 780,00</v>
      </c>
      <c r="K1551" t="str">
        <f>"R$ 570,00"</f>
        <v>R$ 570,00</v>
      </c>
    </row>
    <row r="1552" spans="1:11" x14ac:dyDescent="0.25">
      <c r="A1552" t="str">
        <f>"03641260 / 1"</f>
        <v>03641260 / 1</v>
      </c>
      <c r="B1552" t="str">
        <f>"Folha Mensal"</f>
        <v>Folha Mensal</v>
      </c>
      <c r="C1552" t="str">
        <f>"Mauro da Silva Brasil"</f>
        <v>Mauro da Silva Brasil</v>
      </c>
      <c r="D1552" t="str">
        <f>"DAS 05"</f>
        <v>DAS 05</v>
      </c>
      <c r="E1552" t="str">
        <f>"Comissionado"</f>
        <v>Comissionado</v>
      </c>
      <c r="F1552" t="str">
        <f>"R$ 2.025,00"</f>
        <v>R$ 2.025,00</v>
      </c>
      <c r="G1552" t="str">
        <f>"R$ 2.025,00"</f>
        <v>R$ 2.025,00</v>
      </c>
      <c r="H1552" t="str">
        <f t="shared" si="158"/>
        <v>R$ 0,00</v>
      </c>
      <c r="I1552" t="str">
        <f>"R$ 2.025,00"</f>
        <v>R$ 2.025,00</v>
      </c>
      <c r="J1552" t="str">
        <f>"R$ 165,75"</f>
        <v>R$ 165,75</v>
      </c>
      <c r="K1552" t="str">
        <f>"R$ 1.859,25"</f>
        <v>R$ 1.859,25</v>
      </c>
    </row>
    <row r="1553" spans="1:11" x14ac:dyDescent="0.25">
      <c r="A1553" t="str">
        <f>"00074888 / 1"</f>
        <v>00074888 / 1</v>
      </c>
      <c r="B1553" t="str">
        <f>"13° Salário Anual"</f>
        <v>13° Salário Anual</v>
      </c>
      <c r="C1553" t="str">
        <f>"Mayda Alethea Bernardo da Silva"</f>
        <v>Mayda Alethea Bernardo da Silva</v>
      </c>
      <c r="D1553" t="str">
        <f>"PROFESSOR NIVEL III"</f>
        <v>PROFESSOR NIVEL III</v>
      </c>
      <c r="E1553" t="str">
        <f>"Efetivo-Inativos II-RJUSM"</f>
        <v>Efetivo-Inativos II-RJUSM</v>
      </c>
      <c r="F1553" t="str">
        <f>"R$ 3.704,82"</f>
        <v>R$ 3.704,82</v>
      </c>
      <c r="G1553" t="str">
        <f>"R$ 3.890,06"</f>
        <v>R$ 3.890,06</v>
      </c>
      <c r="H1553" t="str">
        <f t="shared" si="158"/>
        <v>R$ 0,00</v>
      </c>
      <c r="I1553" t="str">
        <f>"R$ 3.890,06"</f>
        <v>R$ 3.890,06</v>
      </c>
      <c r="J1553" t="str">
        <f>"R$ 1.945,03"</f>
        <v>R$ 1.945,03</v>
      </c>
      <c r="K1553" t="str">
        <f>"R$ 1.945,03"</f>
        <v>R$ 1.945,03</v>
      </c>
    </row>
    <row r="1554" spans="1:11" x14ac:dyDescent="0.25">
      <c r="A1554" t="str">
        <f>"00074888 / 1"</f>
        <v>00074888 / 1</v>
      </c>
      <c r="B1554" t="str">
        <f>"Folha Mensal"</f>
        <v>Folha Mensal</v>
      </c>
      <c r="C1554" t="str">
        <f>"Mayda Alethea Bernardo da Silva"</f>
        <v>Mayda Alethea Bernardo da Silva</v>
      </c>
      <c r="D1554" t="str">
        <f>"PROFESSOR NIVEL III"</f>
        <v>PROFESSOR NIVEL III</v>
      </c>
      <c r="E1554" t="str">
        <f>"Efetivo-Inativos II-RJUSM"</f>
        <v>Efetivo-Inativos II-RJUSM</v>
      </c>
      <c r="F1554" t="str">
        <f>"R$ 3.704,82"</f>
        <v>R$ 3.704,82</v>
      </c>
      <c r="G1554" t="str">
        <f>"R$ 3.890,06"</f>
        <v>R$ 3.890,06</v>
      </c>
      <c r="H1554" t="str">
        <f t="shared" si="158"/>
        <v>R$ 0,00</v>
      </c>
      <c r="I1554" t="str">
        <f>"R$ 3.890,06"</f>
        <v>R$ 3.890,06</v>
      </c>
      <c r="J1554" t="str">
        <f>"R$ 658,75"</f>
        <v>R$ 658,75</v>
      </c>
      <c r="K1554" t="str">
        <f>"R$ 3.231,31"</f>
        <v>R$ 3.231,31</v>
      </c>
    </row>
    <row r="1555" spans="1:11" x14ac:dyDescent="0.25">
      <c r="A1555" t="str">
        <f>"00007978 / 1"</f>
        <v>00007978 / 1</v>
      </c>
      <c r="B1555" t="str">
        <f>"13° Salário Anual"</f>
        <v>13° Salário Anual</v>
      </c>
      <c r="C1555" t="str">
        <f>"Merandolina Gomes da Silva"</f>
        <v>Merandolina Gomes da Silva</v>
      </c>
      <c r="D1555" t="str">
        <f>"PROFESSOR"</f>
        <v>PROFESSOR</v>
      </c>
      <c r="E1555" t="str">
        <f t="shared" ref="E1555:E1560" si="161">"Efetivo-Inativo I- RJUSM"</f>
        <v>Efetivo-Inativo I- RJUSM</v>
      </c>
      <c r="F1555" t="str">
        <f>"R$ 1.593,46"</f>
        <v>R$ 1.593,46</v>
      </c>
      <c r="G1555" t="str">
        <f>"R$ 1.991,82"</f>
        <v>R$ 1.991,82</v>
      </c>
      <c r="H1555" t="str">
        <f t="shared" si="158"/>
        <v>R$ 0,00</v>
      </c>
      <c r="I1555" t="str">
        <f>"R$ 1.991,82"</f>
        <v>R$ 1.991,82</v>
      </c>
      <c r="J1555" t="str">
        <f>"R$ 995,91"</f>
        <v>R$ 995,91</v>
      </c>
      <c r="K1555" t="str">
        <f>"R$ 995,91"</f>
        <v>R$ 995,91</v>
      </c>
    </row>
    <row r="1556" spans="1:11" x14ac:dyDescent="0.25">
      <c r="A1556" t="str">
        <f>"00007978 / 1"</f>
        <v>00007978 / 1</v>
      </c>
      <c r="B1556" t="str">
        <f>"Folha Mensal"</f>
        <v>Folha Mensal</v>
      </c>
      <c r="C1556" t="str">
        <f>"Merandolina Gomes da Silva"</f>
        <v>Merandolina Gomes da Silva</v>
      </c>
      <c r="D1556" t="str">
        <f>"PROFESSOR"</f>
        <v>PROFESSOR</v>
      </c>
      <c r="E1556" t="str">
        <f t="shared" si="161"/>
        <v>Efetivo-Inativo I- RJUSM</v>
      </c>
      <c r="F1556" t="str">
        <f>"R$ 1.593,46"</f>
        <v>R$ 1.593,46</v>
      </c>
      <c r="G1556" t="str">
        <f>"R$ 1.991,82"</f>
        <v>R$ 1.991,82</v>
      </c>
      <c r="H1556" t="str">
        <f t="shared" si="158"/>
        <v>R$ 0,00</v>
      </c>
      <c r="I1556" t="str">
        <f>"R$ 1.991,82"</f>
        <v>R$ 1.991,82</v>
      </c>
      <c r="J1556" t="str">
        <f>"R$ 211,44"</f>
        <v>R$ 211,44</v>
      </c>
      <c r="K1556" t="str">
        <f>"R$ 1.780,38"</f>
        <v>R$ 1.780,38</v>
      </c>
    </row>
    <row r="1557" spans="1:11" x14ac:dyDescent="0.25">
      <c r="A1557" t="str">
        <f>"00002810 / 1"</f>
        <v>00002810 / 1</v>
      </c>
      <c r="B1557" t="str">
        <f>"13° Salário Anual"</f>
        <v>13° Salário Anual</v>
      </c>
      <c r="C1557" t="str">
        <f>"Meranil Braga de Carvalho"</f>
        <v>Meranil Braga de Carvalho</v>
      </c>
      <c r="D1557" t="str">
        <f>"PROP IDADE"</f>
        <v>PROP IDADE</v>
      </c>
      <c r="E1557" t="str">
        <f t="shared" si="161"/>
        <v>Efetivo-Inativo I- RJUSM</v>
      </c>
      <c r="F1557" t="str">
        <f t="shared" ref="F1557:G1560" si="162">"R$ 1.100,00"</f>
        <v>R$ 1.100,00</v>
      </c>
      <c r="G1557" t="str">
        <f t="shared" si="162"/>
        <v>R$ 1.100,00</v>
      </c>
      <c r="H1557" t="str">
        <f t="shared" si="158"/>
        <v>R$ 0,00</v>
      </c>
      <c r="I1557" t="str">
        <f>"R$ 1.100,00"</f>
        <v>R$ 1.100,00</v>
      </c>
      <c r="J1557" t="str">
        <f>"R$ 550,00"</f>
        <v>R$ 550,00</v>
      </c>
      <c r="K1557" t="str">
        <f>"R$ 550,00"</f>
        <v>R$ 550,00</v>
      </c>
    </row>
    <row r="1558" spans="1:11" x14ac:dyDescent="0.25">
      <c r="A1558" t="str">
        <f>"00002810 / 1"</f>
        <v>00002810 / 1</v>
      </c>
      <c r="B1558" t="str">
        <f>"Folha Mensal"</f>
        <v>Folha Mensal</v>
      </c>
      <c r="C1558" t="str">
        <f>"Meranil Braga de Carvalho"</f>
        <v>Meranil Braga de Carvalho</v>
      </c>
      <c r="D1558" t="str">
        <f>"PROP IDADE"</f>
        <v>PROP IDADE</v>
      </c>
      <c r="E1558" t="str">
        <f t="shared" si="161"/>
        <v>Efetivo-Inativo I- RJUSM</v>
      </c>
      <c r="F1558" t="str">
        <f t="shared" si="162"/>
        <v>R$ 1.100,00</v>
      </c>
      <c r="G1558" t="str">
        <f t="shared" si="162"/>
        <v>R$ 1.100,00</v>
      </c>
      <c r="H1558" t="str">
        <f t="shared" si="158"/>
        <v>R$ 0,00</v>
      </c>
      <c r="I1558" t="str">
        <f>"R$ 1.100,00"</f>
        <v>R$ 1.100,00</v>
      </c>
      <c r="J1558" t="str">
        <f>"R$ 382,91"</f>
        <v>R$ 382,91</v>
      </c>
      <c r="K1558" t="str">
        <f>"R$ 717,09"</f>
        <v>R$ 717,09</v>
      </c>
    </row>
    <row r="1559" spans="1:11" x14ac:dyDescent="0.25">
      <c r="A1559" t="str">
        <f>"00028428 / 2"</f>
        <v>00028428 / 2</v>
      </c>
      <c r="B1559" t="str">
        <f>"13° Salário Anual"</f>
        <v>13° Salário Anual</v>
      </c>
      <c r="C1559" t="str">
        <f>"Meriam do Lago Amador"</f>
        <v>Meriam do Lago Amador</v>
      </c>
      <c r="D1559" t="str">
        <f>"PROP IDADE"</f>
        <v>PROP IDADE</v>
      </c>
      <c r="E1559" t="str">
        <f t="shared" si="161"/>
        <v>Efetivo-Inativo I- RJUSM</v>
      </c>
      <c r="F1559" t="str">
        <f t="shared" si="162"/>
        <v>R$ 1.100,00</v>
      </c>
      <c r="G1559" t="str">
        <f t="shared" si="162"/>
        <v>R$ 1.100,00</v>
      </c>
      <c r="H1559" t="str">
        <f t="shared" si="158"/>
        <v>R$ 0,00</v>
      </c>
      <c r="I1559" t="str">
        <f>"R$ 1.100,00"</f>
        <v>R$ 1.100,00</v>
      </c>
      <c r="J1559" t="str">
        <f>"R$ 550,00"</f>
        <v>R$ 550,00</v>
      </c>
      <c r="K1559" t="str">
        <f>"R$ 550,00"</f>
        <v>R$ 550,00</v>
      </c>
    </row>
    <row r="1560" spans="1:11" x14ac:dyDescent="0.25">
      <c r="A1560" t="str">
        <f>"00028428 / 2"</f>
        <v>00028428 / 2</v>
      </c>
      <c r="B1560" t="str">
        <f>"Folha Mensal"</f>
        <v>Folha Mensal</v>
      </c>
      <c r="C1560" t="str">
        <f>"Meriam do Lago Amador"</f>
        <v>Meriam do Lago Amador</v>
      </c>
      <c r="D1560" t="str">
        <f>"PROP IDADE"</f>
        <v>PROP IDADE</v>
      </c>
      <c r="E1560" t="str">
        <f t="shared" si="161"/>
        <v>Efetivo-Inativo I- RJUSM</v>
      </c>
      <c r="F1560" t="str">
        <f t="shared" si="162"/>
        <v>R$ 1.100,00</v>
      </c>
      <c r="G1560" t="str">
        <f t="shared" si="162"/>
        <v>R$ 1.100,00</v>
      </c>
      <c r="H1560" t="str">
        <f t="shared" si="158"/>
        <v>R$ 0,00</v>
      </c>
      <c r="I1560" t="str">
        <f>"R$ 1.100,00"</f>
        <v>R$ 1.100,00</v>
      </c>
      <c r="J1560" t="str">
        <f>"R$ 45,74"</f>
        <v>R$ 45,74</v>
      </c>
      <c r="K1560" t="str">
        <f>"R$ 1.054,26"</f>
        <v>R$ 1.054,26</v>
      </c>
    </row>
    <row r="1561" spans="1:11" x14ac:dyDescent="0.25">
      <c r="A1561" t="str">
        <f>"00072966 / 2"</f>
        <v>00072966 / 2</v>
      </c>
      <c r="B1561" t="str">
        <f>"13° Salário Anual"</f>
        <v>13° Salário Anual</v>
      </c>
      <c r="C1561" t="str">
        <f>"Miciko Assano"</f>
        <v>Miciko Assano</v>
      </c>
      <c r="D1561" t="str">
        <f>"PROFESSOR NIVEL III"</f>
        <v>PROFESSOR NIVEL III</v>
      </c>
      <c r="E1561" t="str">
        <f>"Efetivo-Inativos II-RJUSM"</f>
        <v>Efetivo-Inativos II-RJUSM</v>
      </c>
      <c r="F1561" t="str">
        <f>"R$ 5.099,11"</f>
        <v>R$ 5.099,11</v>
      </c>
      <c r="G1561" t="str">
        <f>"R$ 5.609,02"</f>
        <v>R$ 5.609,02</v>
      </c>
      <c r="H1561" t="str">
        <f t="shared" si="158"/>
        <v>R$ 0,00</v>
      </c>
      <c r="I1561" t="str">
        <f>"R$ 5.609,02"</f>
        <v>R$ 5.609,02</v>
      </c>
      <c r="J1561" t="str">
        <f>"R$ 3.477,63"</f>
        <v>R$ 3.477,63</v>
      </c>
      <c r="K1561" t="str">
        <f>"R$ 2.131,39"</f>
        <v>R$ 2.131,39</v>
      </c>
    </row>
    <row r="1562" spans="1:11" x14ac:dyDescent="0.25">
      <c r="A1562" t="str">
        <f>"00072966 / 2"</f>
        <v>00072966 / 2</v>
      </c>
      <c r="B1562" t="str">
        <f>"Folha Mensal"</f>
        <v>Folha Mensal</v>
      </c>
      <c r="C1562" t="str">
        <f>"Miciko Assano"</f>
        <v>Miciko Assano</v>
      </c>
      <c r="D1562" t="str">
        <f>"PROFESSOR NIVEL III"</f>
        <v>PROFESSOR NIVEL III</v>
      </c>
      <c r="E1562" t="str">
        <f>"Efetivo-Inativos II-RJUSM"</f>
        <v>Efetivo-Inativos II-RJUSM</v>
      </c>
      <c r="F1562" t="str">
        <f>"R$ 5.099,11"</f>
        <v>R$ 5.099,11</v>
      </c>
      <c r="G1562" t="str">
        <f>"R$ 5.609,02"</f>
        <v>R$ 5.609,02</v>
      </c>
      <c r="H1562" t="str">
        <f t="shared" si="158"/>
        <v>R$ 0,00</v>
      </c>
      <c r="I1562" t="str">
        <f>"R$ 5.609,02"</f>
        <v>R$ 5.609,02</v>
      </c>
      <c r="J1562" t="str">
        <f>"R$ 2.151,08"</f>
        <v>R$ 2.151,08</v>
      </c>
      <c r="K1562" t="str">
        <f>"R$ 3.457,94"</f>
        <v>R$ 3.457,94</v>
      </c>
    </row>
    <row r="1563" spans="1:11" x14ac:dyDescent="0.25">
      <c r="A1563" t="str">
        <f>"03641333 / 1"</f>
        <v>03641333 / 1</v>
      </c>
      <c r="B1563" t="str">
        <f>"13° Salário Anual"</f>
        <v>13° Salário Anual</v>
      </c>
      <c r="C1563" t="str">
        <f>"Miguel Carvalho Alves"</f>
        <v>Miguel Carvalho Alves</v>
      </c>
      <c r="D1563" t="str">
        <f>"PENSIONISTA"</f>
        <v>PENSIONISTA</v>
      </c>
      <c r="E1563" t="str">
        <f>"Pensionista"</f>
        <v>Pensionista</v>
      </c>
      <c r="F1563" t="str">
        <f>"R$ 4.350,16"</f>
        <v>R$ 4.350,16</v>
      </c>
      <c r="G1563" t="str">
        <f>"R$ 3.262,62"</f>
        <v>R$ 3.262,62</v>
      </c>
      <c r="H1563" t="str">
        <f t="shared" si="158"/>
        <v>R$ 0,00</v>
      </c>
      <c r="I1563" t="str">
        <f>"R$ 3.262,62"</f>
        <v>R$ 3.262,62</v>
      </c>
      <c r="J1563" t="str">
        <f>"R$ 1.765,90"</f>
        <v>R$ 1.765,90</v>
      </c>
      <c r="K1563" t="str">
        <f>"R$ 1.496,72"</f>
        <v>R$ 1.496,72</v>
      </c>
    </row>
    <row r="1564" spans="1:11" x14ac:dyDescent="0.25">
      <c r="A1564" t="str">
        <f>"03641333 / 1"</f>
        <v>03641333 / 1</v>
      </c>
      <c r="B1564" t="str">
        <f>"Folha Mensal"</f>
        <v>Folha Mensal</v>
      </c>
      <c r="C1564" t="str">
        <f>"Miguel Carvalho Alves"</f>
        <v>Miguel Carvalho Alves</v>
      </c>
      <c r="D1564" t="str">
        <f>"PENSIONISTA"</f>
        <v>PENSIONISTA</v>
      </c>
      <c r="E1564" t="str">
        <f>"Pensionista"</f>
        <v>Pensionista</v>
      </c>
      <c r="F1564" t="str">
        <f>"R$ 4.350,16"</f>
        <v>R$ 4.350,16</v>
      </c>
      <c r="G1564" t="str">
        <f>"R$ 4.350,16"</f>
        <v>R$ 4.350,16</v>
      </c>
      <c r="H1564" t="str">
        <f t="shared" si="158"/>
        <v>R$ 0,00</v>
      </c>
      <c r="I1564" t="str">
        <f>"R$ 4.350,16"</f>
        <v>R$ 4.350,16</v>
      </c>
      <c r="J1564" t="str">
        <f>"R$ 342,65"</f>
        <v>R$ 342,65</v>
      </c>
      <c r="K1564" t="str">
        <f>"R$ 4.007,51"</f>
        <v>R$ 4.007,51</v>
      </c>
    </row>
    <row r="1565" spans="1:11" x14ac:dyDescent="0.25">
      <c r="A1565" t="str">
        <f>"03642950 / 1"</f>
        <v>03642950 / 1</v>
      </c>
      <c r="B1565" t="str">
        <f>"13° Salário Anual"</f>
        <v>13° Salário Anual</v>
      </c>
      <c r="C1565" t="str">
        <f>"Miguel Cordovil da Rocha"</f>
        <v>Miguel Cordovil da Rocha</v>
      </c>
      <c r="D1565" t="str">
        <f>"PENSIONISTA"</f>
        <v>PENSIONISTA</v>
      </c>
      <c r="E1565" t="str">
        <f>"Pensionista"</f>
        <v>Pensionista</v>
      </c>
      <c r="F1565" t="str">
        <f>"R$ 1.100,00"</f>
        <v>R$ 1.100,00</v>
      </c>
      <c r="G1565" t="str">
        <f>"R$ 1.100,00"</f>
        <v>R$ 1.100,00</v>
      </c>
      <c r="H1565" t="str">
        <f t="shared" si="158"/>
        <v>R$ 0,00</v>
      </c>
      <c r="I1565" t="str">
        <f>"R$ 1.100,00"</f>
        <v>R$ 1.100,00</v>
      </c>
      <c r="J1565" t="str">
        <f>"R$ 550,00"</f>
        <v>R$ 550,00</v>
      </c>
      <c r="K1565" t="str">
        <f>"R$ 550,00"</f>
        <v>R$ 550,00</v>
      </c>
    </row>
    <row r="1566" spans="1:11" x14ac:dyDescent="0.25">
      <c r="A1566" t="str">
        <f>"03642950 / 1"</f>
        <v>03642950 / 1</v>
      </c>
      <c r="B1566" t="str">
        <f>"Folha Mensal"</f>
        <v>Folha Mensal</v>
      </c>
      <c r="C1566" t="str">
        <f>"Miguel Cordovil da Rocha"</f>
        <v>Miguel Cordovil da Rocha</v>
      </c>
      <c r="D1566" t="str">
        <f>"PENSIONISTA"</f>
        <v>PENSIONISTA</v>
      </c>
      <c r="E1566" t="str">
        <f>"Pensionista"</f>
        <v>Pensionista</v>
      </c>
      <c r="F1566" t="str">
        <f>"R$ 1.100,00"</f>
        <v>R$ 1.100,00</v>
      </c>
      <c r="G1566" t="str">
        <f>"R$ 1.100,00"</f>
        <v>R$ 1.100,00</v>
      </c>
      <c r="H1566" t="str">
        <f t="shared" si="158"/>
        <v>R$ 0,00</v>
      </c>
      <c r="I1566" t="str">
        <f>"R$ 1.100,00"</f>
        <v>R$ 1.100,00</v>
      </c>
      <c r="J1566" t="str">
        <f>"R$ 281,06"</f>
        <v>R$ 281,06</v>
      </c>
      <c r="K1566" t="str">
        <f>"R$ 818,94"</f>
        <v>R$ 818,94</v>
      </c>
    </row>
    <row r="1567" spans="1:11" x14ac:dyDescent="0.25">
      <c r="A1567" t="str">
        <f>"00024309 / 1"</f>
        <v>00024309 / 1</v>
      </c>
      <c r="B1567" t="str">
        <f>"13° Salário Anual"</f>
        <v>13° Salário Anual</v>
      </c>
      <c r="C1567" t="str">
        <f>"Miriam Tereza Alves Mendes"</f>
        <v>Miriam Tereza Alves Mendes</v>
      </c>
      <c r="D1567" t="str">
        <f>"PROFESSOR"</f>
        <v>PROFESSOR</v>
      </c>
      <c r="E1567" t="str">
        <f>"Efetivo-Inativo I- RJUSM"</f>
        <v>Efetivo-Inativo I- RJUSM</v>
      </c>
      <c r="F1567" t="str">
        <f>"R$ 2.071,51"</f>
        <v>R$ 2.071,51</v>
      </c>
      <c r="G1567" t="str">
        <f>"R$ 2.589,38"</f>
        <v>R$ 2.589,38</v>
      </c>
      <c r="H1567" t="str">
        <f t="shared" si="158"/>
        <v>R$ 0,00</v>
      </c>
      <c r="I1567" t="str">
        <f>"R$ 2.589,38"</f>
        <v>R$ 2.589,38</v>
      </c>
      <c r="J1567" t="str">
        <f>"R$ 1.346,09"</f>
        <v>R$ 1.346,09</v>
      </c>
      <c r="K1567" t="str">
        <f>"R$ 1.243,29"</f>
        <v>R$ 1.243,29</v>
      </c>
    </row>
    <row r="1568" spans="1:11" x14ac:dyDescent="0.25">
      <c r="A1568" t="str">
        <f>"00024309 / 1"</f>
        <v>00024309 / 1</v>
      </c>
      <c r="B1568" t="str">
        <f>"Folha Mensal"</f>
        <v>Folha Mensal</v>
      </c>
      <c r="C1568" t="str">
        <f>"Miriam Tereza Alves Mendes"</f>
        <v>Miriam Tereza Alves Mendes</v>
      </c>
      <c r="D1568" t="str">
        <f>"PROFESSOR"</f>
        <v>PROFESSOR</v>
      </c>
      <c r="E1568" t="str">
        <f>"Efetivo-Inativo I- RJUSM"</f>
        <v>Efetivo-Inativo I- RJUSM</v>
      </c>
      <c r="F1568" t="str">
        <f>"R$ 2.071,51"</f>
        <v>R$ 2.071,51</v>
      </c>
      <c r="G1568" t="str">
        <f>"R$ 2.589,38"</f>
        <v>R$ 2.589,38</v>
      </c>
      <c r="H1568" t="str">
        <f t="shared" ref="H1568:H1631" si="163">"R$ 0,00"</f>
        <v>R$ 0,00</v>
      </c>
      <c r="I1568" t="str">
        <f>"R$ 2.589,38"</f>
        <v>R$ 2.589,38</v>
      </c>
      <c r="J1568" t="str">
        <f>"R$ 51,40"</f>
        <v>R$ 51,40</v>
      </c>
      <c r="K1568" t="str">
        <f>"R$ 2.537,98"</f>
        <v>R$ 2.537,98</v>
      </c>
    </row>
    <row r="1569" spans="1:11" x14ac:dyDescent="0.25">
      <c r="A1569" t="str">
        <f>"03641600 / 1"</f>
        <v>03641600 / 1</v>
      </c>
      <c r="B1569" t="str">
        <f>"13° Salário Anual"</f>
        <v>13° Salário Anual</v>
      </c>
      <c r="C1569" t="str">
        <f>"Moises Augusto Costa Rabelo"</f>
        <v>Moises Augusto Costa Rabelo</v>
      </c>
      <c r="D1569" t="str">
        <f>"DAS 05"</f>
        <v>DAS 05</v>
      </c>
      <c r="E1569" t="str">
        <f>"Comissionado"</f>
        <v>Comissionado</v>
      </c>
      <c r="F1569" t="str">
        <f>"R$ 2.025,00"</f>
        <v>R$ 2.025,00</v>
      </c>
      <c r="G1569" t="str">
        <f>"R$ 1.012,50"</f>
        <v>R$ 1.012,50</v>
      </c>
      <c r="H1569" t="str">
        <f t="shared" si="163"/>
        <v>R$ 0,00</v>
      </c>
      <c r="I1569" t="str">
        <f>"R$ 1.012,50"</f>
        <v>R$ 1.012,50</v>
      </c>
      <c r="J1569" t="str">
        <f>"R$ 582,18"</f>
        <v>R$ 582,18</v>
      </c>
      <c r="K1569" t="str">
        <f>"R$ 430,32"</f>
        <v>R$ 430,32</v>
      </c>
    </row>
    <row r="1570" spans="1:11" x14ac:dyDescent="0.25">
      <c r="A1570" t="str">
        <f>"03641600 / 1"</f>
        <v>03641600 / 1</v>
      </c>
      <c r="B1570" t="str">
        <f>"Folha Mensal"</f>
        <v>Folha Mensal</v>
      </c>
      <c r="C1570" t="str">
        <f>"Moises Augusto Costa Rabelo"</f>
        <v>Moises Augusto Costa Rabelo</v>
      </c>
      <c r="D1570" t="str">
        <f>"DAS 05"</f>
        <v>DAS 05</v>
      </c>
      <c r="E1570" t="str">
        <f>"Comissionado"</f>
        <v>Comissionado</v>
      </c>
      <c r="F1570" t="str">
        <f>"R$ 2.025,00"</f>
        <v>R$ 2.025,00</v>
      </c>
      <c r="G1570" t="str">
        <f>"R$ 2.025,00"</f>
        <v>R$ 2.025,00</v>
      </c>
      <c r="H1570" t="str">
        <f t="shared" si="163"/>
        <v>R$ 0,00</v>
      </c>
      <c r="I1570" t="str">
        <f>"R$ 2.025,00"</f>
        <v>R$ 2.025,00</v>
      </c>
      <c r="J1570" t="str">
        <f>"R$ 165,75"</f>
        <v>R$ 165,75</v>
      </c>
      <c r="K1570" t="str">
        <f>"R$ 1.859,25"</f>
        <v>R$ 1.859,25</v>
      </c>
    </row>
    <row r="1571" spans="1:11" x14ac:dyDescent="0.25">
      <c r="A1571" t="str">
        <f>"03640256 / 2"</f>
        <v>03640256 / 2</v>
      </c>
      <c r="B1571" t="str">
        <f>"13° Salário Anual"</f>
        <v>13° Salário Anual</v>
      </c>
      <c r="C1571" t="str">
        <f>"Morgana Alves de Araujo Morgan"</f>
        <v>Morgana Alves de Araujo Morgan</v>
      </c>
      <c r="D1571" t="str">
        <f>"PROFESSOR NIVEL II"</f>
        <v>PROFESSOR NIVEL II</v>
      </c>
      <c r="E1571" t="str">
        <f>"Efetivo-Inativos II-RJUSM"</f>
        <v>Efetivo-Inativos II-RJUSM</v>
      </c>
      <c r="F1571" t="str">
        <f>"R$ 2.071,51"</f>
        <v>R$ 2.071,51</v>
      </c>
      <c r="G1571" t="str">
        <f>"R$ 2.071,51"</f>
        <v>R$ 2.071,51</v>
      </c>
      <c r="H1571" t="str">
        <f t="shared" si="163"/>
        <v>R$ 0,00</v>
      </c>
      <c r="I1571" t="str">
        <f>"R$ 2.071,51"</f>
        <v>R$ 2.071,51</v>
      </c>
      <c r="J1571" t="str">
        <f>"R$ 1.035,75"</f>
        <v>R$ 1.035,75</v>
      </c>
      <c r="K1571" t="str">
        <f>"R$ 1.035,76"</f>
        <v>R$ 1.035,76</v>
      </c>
    </row>
    <row r="1572" spans="1:11" x14ac:dyDescent="0.25">
      <c r="A1572" t="str">
        <f>"03640256 / 2"</f>
        <v>03640256 / 2</v>
      </c>
      <c r="B1572" t="str">
        <f>"Folha Mensal"</f>
        <v>Folha Mensal</v>
      </c>
      <c r="C1572" t="str">
        <f>"Morgana Alves de Araujo Morgan"</f>
        <v>Morgana Alves de Araujo Morgan</v>
      </c>
      <c r="D1572" t="str">
        <f>"PROFESSOR NIVEL II"</f>
        <v>PROFESSOR NIVEL II</v>
      </c>
      <c r="E1572" t="str">
        <f>"Efetivo-Inativos II-RJUSM"</f>
        <v>Efetivo-Inativos II-RJUSM</v>
      </c>
      <c r="F1572" t="str">
        <f>"R$ 2.071,51"</f>
        <v>R$ 2.071,51</v>
      </c>
      <c r="G1572" t="str">
        <f>"R$ 2.071,51"</f>
        <v>R$ 2.071,51</v>
      </c>
      <c r="H1572" t="str">
        <f t="shared" si="163"/>
        <v>R$ 0,00</v>
      </c>
      <c r="I1572" t="str">
        <f>"R$ 2.071,51"</f>
        <v>R$ 2.071,51</v>
      </c>
      <c r="J1572" t="str">
        <f>"R$ 0,00"</f>
        <v>R$ 0,00</v>
      </c>
      <c r="K1572" t="str">
        <f>"R$ 2.071,51"</f>
        <v>R$ 2.071,51</v>
      </c>
    </row>
    <row r="1573" spans="1:11" x14ac:dyDescent="0.25">
      <c r="A1573" t="str">
        <f>"03641643 / 1"</f>
        <v>03641643 / 1</v>
      </c>
      <c r="B1573" t="str">
        <f>"13° Salário Anual"</f>
        <v>13° Salário Anual</v>
      </c>
      <c r="C1573" t="str">
        <f>"Murilo dos Santos Ferreira"</f>
        <v>Murilo dos Santos Ferreira</v>
      </c>
      <c r="D1573" t="str">
        <f>"DAS 04"</f>
        <v>DAS 04</v>
      </c>
      <c r="E1573" t="str">
        <f>"Comissionado"</f>
        <v>Comissionado</v>
      </c>
      <c r="F1573" t="str">
        <f>"R$ 1.685,13"</f>
        <v>R$ 1.685,13</v>
      </c>
      <c r="G1573" t="str">
        <f>"R$ 842,56"</f>
        <v>R$ 842,56</v>
      </c>
      <c r="H1573" t="str">
        <f t="shared" si="163"/>
        <v>R$ 0,00</v>
      </c>
      <c r="I1573" t="str">
        <f>"R$ 842,56"</f>
        <v>R$ 842,56</v>
      </c>
      <c r="J1573" t="str">
        <f>"R$ 484,47"</f>
        <v>R$ 484,47</v>
      </c>
      <c r="K1573" t="str">
        <f>"R$ 358,09"</f>
        <v>R$ 358,09</v>
      </c>
    </row>
    <row r="1574" spans="1:11" x14ac:dyDescent="0.25">
      <c r="A1574" t="str">
        <f>"03641643 / 1"</f>
        <v>03641643 / 1</v>
      </c>
      <c r="B1574" t="str">
        <f>"Folha Mensal"</f>
        <v>Folha Mensal</v>
      </c>
      <c r="C1574" t="str">
        <f>"Murilo dos Santos Ferreira"</f>
        <v>Murilo dos Santos Ferreira</v>
      </c>
      <c r="D1574" t="str">
        <f>"DAS 04"</f>
        <v>DAS 04</v>
      </c>
      <c r="E1574" t="str">
        <f>"Comissionado"</f>
        <v>Comissionado</v>
      </c>
      <c r="F1574" t="str">
        <f>"R$ 1.685,13"</f>
        <v>R$ 1.685,13</v>
      </c>
      <c r="G1574" t="str">
        <f>"R$ 1.685,13"</f>
        <v>R$ 1.685,13</v>
      </c>
      <c r="H1574" t="str">
        <f t="shared" si="163"/>
        <v>R$ 0,00</v>
      </c>
      <c r="I1574" t="str">
        <f>"R$ 1.685,13"</f>
        <v>R$ 1.685,13</v>
      </c>
      <c r="J1574" t="str">
        <f>"R$ 135,16"</f>
        <v>R$ 135,16</v>
      </c>
      <c r="K1574" t="str">
        <f>"R$ 1.549,97"</f>
        <v>R$ 1.549,97</v>
      </c>
    </row>
    <row r="1575" spans="1:11" x14ac:dyDescent="0.25">
      <c r="A1575" t="str">
        <f>"00006866 / 1"</f>
        <v>00006866 / 1</v>
      </c>
      <c r="B1575" t="str">
        <f>"13° Salário Anual"</f>
        <v>13° Salário Anual</v>
      </c>
      <c r="C1575" t="str">
        <f>"Myriam Arcelina da Silva"</f>
        <v>Myriam Arcelina da Silva</v>
      </c>
      <c r="D1575" t="str">
        <f>"PROP INVALIDEZ"</f>
        <v>PROP INVALIDEZ</v>
      </c>
      <c r="E1575" t="str">
        <f>"Efetivo-Inativo I- RJUSM"</f>
        <v>Efetivo-Inativo I- RJUSM</v>
      </c>
      <c r="F1575" t="str">
        <f>"R$ 790,05"</f>
        <v>R$ 790,05</v>
      </c>
      <c r="G1575" t="str">
        <f>"R$ 1.100,00"</f>
        <v>R$ 1.100,00</v>
      </c>
      <c r="H1575" t="str">
        <f t="shared" si="163"/>
        <v>R$ 0,00</v>
      </c>
      <c r="I1575" t="str">
        <f>"R$ 1.100,00"</f>
        <v>R$ 1.100,00</v>
      </c>
      <c r="J1575" t="str">
        <f>"R$ 550,00"</f>
        <v>R$ 550,00</v>
      </c>
      <c r="K1575" t="str">
        <f>"R$ 550,00"</f>
        <v>R$ 550,00</v>
      </c>
    </row>
    <row r="1576" spans="1:11" x14ac:dyDescent="0.25">
      <c r="A1576" t="str">
        <f>"00006866 / 1"</f>
        <v>00006866 / 1</v>
      </c>
      <c r="B1576" t="str">
        <f>"Folha Mensal"</f>
        <v>Folha Mensal</v>
      </c>
      <c r="C1576" t="str">
        <f>"Myriam Arcelina da Silva"</f>
        <v>Myriam Arcelina da Silva</v>
      </c>
      <c r="D1576" t="str">
        <f>"PROP INVALIDEZ"</f>
        <v>PROP INVALIDEZ</v>
      </c>
      <c r="E1576" t="str">
        <f>"Efetivo-Inativo I- RJUSM"</f>
        <v>Efetivo-Inativo I- RJUSM</v>
      </c>
      <c r="F1576" t="str">
        <f>"R$ 790,05"</f>
        <v>R$ 790,05</v>
      </c>
      <c r="G1576" t="str">
        <f>"R$ 1.100,00"</f>
        <v>R$ 1.100,00</v>
      </c>
      <c r="H1576" t="str">
        <f t="shared" si="163"/>
        <v>R$ 0,00</v>
      </c>
      <c r="I1576" t="str">
        <f>"R$ 1.100,00"</f>
        <v>R$ 1.100,00</v>
      </c>
      <c r="J1576" t="str">
        <f>"R$ 328,86"</f>
        <v>R$ 328,86</v>
      </c>
      <c r="K1576" t="str">
        <f>"R$ 771,14"</f>
        <v>R$ 771,14</v>
      </c>
    </row>
    <row r="1577" spans="1:11" x14ac:dyDescent="0.25">
      <c r="A1577" t="str">
        <f>"03640086 / 1"</f>
        <v>03640086 / 1</v>
      </c>
      <c r="B1577" t="str">
        <f>"13° Salário Anual"</f>
        <v>13° Salário Anual</v>
      </c>
      <c r="C1577" t="str">
        <f>"Nadine Sousa Dias Nascimento"</f>
        <v>Nadine Sousa Dias Nascimento</v>
      </c>
      <c r="D1577" t="str">
        <f>"PENS TEMP ATE 17/04/2026"</f>
        <v>PENS TEMP ATE 17/04/2026</v>
      </c>
      <c r="E1577" t="str">
        <f>"Pensionista"</f>
        <v>Pensionista</v>
      </c>
      <c r="F1577" t="str">
        <f>"R$ 277,42"</f>
        <v>R$ 277,42</v>
      </c>
      <c r="G1577" t="str">
        <f>"R$ 582,58"</f>
        <v>R$ 582,58</v>
      </c>
      <c r="H1577" t="str">
        <f t="shared" si="163"/>
        <v>R$ 0,00</v>
      </c>
      <c r="I1577" t="str">
        <f>"R$ 582,58"</f>
        <v>R$ 582,58</v>
      </c>
      <c r="J1577" t="str">
        <f>"R$ 291,29"</f>
        <v>R$ 291,29</v>
      </c>
      <c r="K1577" t="str">
        <f>"R$ 291,29"</f>
        <v>R$ 291,29</v>
      </c>
    </row>
    <row r="1578" spans="1:11" x14ac:dyDescent="0.25">
      <c r="A1578" t="str">
        <f>"03640086 / 1"</f>
        <v>03640086 / 1</v>
      </c>
      <c r="B1578" t="str">
        <f>"Folha Mensal"</f>
        <v>Folha Mensal</v>
      </c>
      <c r="C1578" t="str">
        <f>"Nadine Sousa Dias Nascimento"</f>
        <v>Nadine Sousa Dias Nascimento</v>
      </c>
      <c r="D1578" t="str">
        <f>"PENS TEMP ATE 17/04/2026"</f>
        <v>PENS TEMP ATE 17/04/2026</v>
      </c>
      <c r="E1578" t="str">
        <f>"Pensionista"</f>
        <v>Pensionista</v>
      </c>
      <c r="F1578" t="str">
        <f>"R$ 277,42"</f>
        <v>R$ 277,42</v>
      </c>
      <c r="G1578" t="str">
        <f>"R$ 582,58"</f>
        <v>R$ 582,58</v>
      </c>
      <c r="H1578" t="str">
        <f t="shared" si="163"/>
        <v>R$ 0,00</v>
      </c>
      <c r="I1578" t="str">
        <f>"R$ 582,58"</f>
        <v>R$ 582,58</v>
      </c>
      <c r="J1578" t="str">
        <f>"R$ 203,63"</f>
        <v>R$ 203,63</v>
      </c>
      <c r="K1578" t="str">
        <f>"R$ 378,95"</f>
        <v>R$ 378,95</v>
      </c>
    </row>
    <row r="1579" spans="1:11" x14ac:dyDescent="0.25">
      <c r="A1579" t="str">
        <f>"03640027 / 1"</f>
        <v>03640027 / 1</v>
      </c>
      <c r="B1579" t="str">
        <f>"13° Salário Anual"</f>
        <v>13° Salário Anual</v>
      </c>
      <c r="C1579" t="str">
        <f>"Nadir Guimaraes Farias de Araujo"</f>
        <v>Nadir Guimaraes Farias de Araujo</v>
      </c>
      <c r="D1579" t="str">
        <f>"PROFESSOR NIVEL III"</f>
        <v>PROFESSOR NIVEL III</v>
      </c>
      <c r="E1579" t="str">
        <f>"Efetivo-Inativos II-RJUSM"</f>
        <v>Efetivo-Inativos II-RJUSM</v>
      </c>
      <c r="F1579" t="str">
        <f>"R$ 5.736,47"</f>
        <v>R$ 5.736,47</v>
      </c>
      <c r="G1579" t="str">
        <f>"R$ 7.170,58"</f>
        <v>R$ 7.170,58</v>
      </c>
      <c r="H1579" t="str">
        <f t="shared" si="163"/>
        <v>R$ 0,00</v>
      </c>
      <c r="I1579" t="str">
        <f>"R$ 7.170,58"</f>
        <v>R$ 7.170,58</v>
      </c>
      <c r="J1579" t="str">
        <f>"R$ 4.744,25"</f>
        <v>R$ 4.744,25</v>
      </c>
      <c r="K1579" t="str">
        <f>"R$ 2.426,33"</f>
        <v>R$ 2.426,33</v>
      </c>
    </row>
    <row r="1580" spans="1:11" x14ac:dyDescent="0.25">
      <c r="A1580" t="str">
        <f>"03640027 / 1"</f>
        <v>03640027 / 1</v>
      </c>
      <c r="B1580" t="str">
        <f>"Folha Mensal"</f>
        <v>Folha Mensal</v>
      </c>
      <c r="C1580" t="str">
        <f>"Nadir Guimaraes Farias de Araujo"</f>
        <v>Nadir Guimaraes Farias de Araujo</v>
      </c>
      <c r="D1580" t="str">
        <f>"PROFESSOR NIVEL III"</f>
        <v>PROFESSOR NIVEL III</v>
      </c>
      <c r="E1580" t="str">
        <f>"Efetivo-Inativos II-RJUSM"</f>
        <v>Efetivo-Inativos II-RJUSM</v>
      </c>
      <c r="F1580" t="str">
        <f>"R$ 5.736,47"</f>
        <v>R$ 5.736,47</v>
      </c>
      <c r="G1580" t="str">
        <f>"R$ 7.170,58"</f>
        <v>R$ 7.170,58</v>
      </c>
      <c r="H1580" t="str">
        <f t="shared" si="163"/>
        <v>R$ 0,00</v>
      </c>
      <c r="I1580" t="str">
        <f>"R$ 7.170,58"</f>
        <v>R$ 7.170,58</v>
      </c>
      <c r="J1580" t="str">
        <f>"R$ 1.158,96"</f>
        <v>R$ 1.158,96</v>
      </c>
      <c r="K1580" t="str">
        <f>"R$ 6.011,62"</f>
        <v>R$ 6.011,62</v>
      </c>
    </row>
    <row r="1581" spans="1:11" x14ac:dyDescent="0.25">
      <c r="A1581" t="str">
        <f>"00054542 / 1"</f>
        <v>00054542 / 1</v>
      </c>
      <c r="B1581" t="str">
        <f>"13° Salário Anual"</f>
        <v>13° Salário Anual</v>
      </c>
      <c r="C1581" t="str">
        <f>"Nanci Brandao Tavares"</f>
        <v>Nanci Brandao Tavares</v>
      </c>
      <c r="D1581" t="str">
        <f>"PROFESSOR"</f>
        <v>PROFESSOR</v>
      </c>
      <c r="E1581" t="str">
        <f>"Efetivo-Inativo I- RJUSM"</f>
        <v>Efetivo-Inativo I- RJUSM</v>
      </c>
      <c r="F1581" t="str">
        <f>"R$ 1.593,46"</f>
        <v>R$ 1.593,46</v>
      </c>
      <c r="G1581" t="str">
        <f>"R$ 1.991,82"</f>
        <v>R$ 1.991,82</v>
      </c>
      <c r="H1581" t="str">
        <f t="shared" si="163"/>
        <v>R$ 0,00</v>
      </c>
      <c r="I1581" t="str">
        <f>"R$ 1.991,82"</f>
        <v>R$ 1.991,82</v>
      </c>
      <c r="J1581" t="str">
        <f>"R$ 1.002,49"</f>
        <v>R$ 1.002,49</v>
      </c>
      <c r="K1581" t="str">
        <f>"R$ 989,33"</f>
        <v>R$ 989,33</v>
      </c>
    </row>
    <row r="1582" spans="1:11" x14ac:dyDescent="0.25">
      <c r="A1582" t="str">
        <f>"00054542 / 1"</f>
        <v>00054542 / 1</v>
      </c>
      <c r="B1582" t="str">
        <f>"Folha Mensal"</f>
        <v>Folha Mensal</v>
      </c>
      <c r="C1582" t="str">
        <f>"Nanci Brandao Tavares"</f>
        <v>Nanci Brandao Tavares</v>
      </c>
      <c r="D1582" t="str">
        <f>"PROFESSOR"</f>
        <v>PROFESSOR</v>
      </c>
      <c r="E1582" t="str">
        <f>"Efetivo-Inativo I- RJUSM"</f>
        <v>Efetivo-Inativo I- RJUSM</v>
      </c>
      <c r="F1582" t="str">
        <f>"R$ 1.593,46"</f>
        <v>R$ 1.593,46</v>
      </c>
      <c r="G1582" t="str">
        <f>"R$ 1.991,82"</f>
        <v>R$ 1.991,82</v>
      </c>
      <c r="H1582" t="str">
        <f t="shared" si="163"/>
        <v>R$ 0,00</v>
      </c>
      <c r="I1582" t="str">
        <f>"R$ 1.991,82"</f>
        <v>R$ 1.991,82</v>
      </c>
      <c r="J1582" t="str">
        <f>"R$ 6,58"</f>
        <v>R$ 6,58</v>
      </c>
      <c r="K1582" t="str">
        <f>"R$ 1.985,24"</f>
        <v>R$ 1.985,24</v>
      </c>
    </row>
    <row r="1583" spans="1:11" x14ac:dyDescent="0.25">
      <c r="A1583" t="str">
        <f>"03641031 / 1"</f>
        <v>03641031 / 1</v>
      </c>
      <c r="B1583" t="str">
        <f>"13° Salário Anual"</f>
        <v>13° Salário Anual</v>
      </c>
      <c r="C1583" t="str">
        <f>"Nancy de Nazare Nascimento Lisboa"</f>
        <v>Nancy de Nazare Nascimento Lisboa</v>
      </c>
      <c r="D1583" t="str">
        <f>"DAS 06"</f>
        <v>DAS 06</v>
      </c>
      <c r="E1583" t="str">
        <f>"Comissionado"</f>
        <v>Comissionado</v>
      </c>
      <c r="F1583" t="str">
        <f>"R$ 2.427,00"</f>
        <v>R$ 2.427,00</v>
      </c>
      <c r="G1583" t="str">
        <f>"R$ 2.022,50"</f>
        <v>R$ 2.022,50</v>
      </c>
      <c r="H1583" t="str">
        <f t="shared" si="163"/>
        <v>R$ 0,00</v>
      </c>
      <c r="I1583" t="str">
        <f>"R$ 2.022,50"</f>
        <v>R$ 2.022,50</v>
      </c>
      <c r="J1583" t="str">
        <f>"R$ 1.176,77"</f>
        <v>R$ 1.176,77</v>
      </c>
      <c r="K1583" t="str">
        <f>"R$ 845,73"</f>
        <v>R$ 845,73</v>
      </c>
    </row>
    <row r="1584" spans="1:11" x14ac:dyDescent="0.25">
      <c r="A1584" t="str">
        <f>"03641031 / 1"</f>
        <v>03641031 / 1</v>
      </c>
      <c r="B1584" t="str">
        <f>"Folha Mensal"</f>
        <v>Folha Mensal</v>
      </c>
      <c r="C1584" t="str">
        <f>"Nancy de Nazare Nascimento Lisboa"</f>
        <v>Nancy de Nazare Nascimento Lisboa</v>
      </c>
      <c r="D1584" t="str">
        <f>"DAS 06"</f>
        <v>DAS 06</v>
      </c>
      <c r="E1584" t="str">
        <f>"Comissionado"</f>
        <v>Comissionado</v>
      </c>
      <c r="F1584" t="str">
        <f>"R$ 2.427,00"</f>
        <v>R$ 2.427,00</v>
      </c>
      <c r="G1584" t="str">
        <f>"R$ 2.427,00"</f>
        <v>R$ 2.427,00</v>
      </c>
      <c r="H1584" t="str">
        <f t="shared" si="163"/>
        <v>R$ 0,00</v>
      </c>
      <c r="I1584" t="str">
        <f>"R$ 2.427,00"</f>
        <v>R$ 2.427,00</v>
      </c>
      <c r="J1584" t="str">
        <f>"R$ 232,20"</f>
        <v>R$ 232,20</v>
      </c>
      <c r="K1584" t="str">
        <f>"R$ 2.194,80"</f>
        <v>R$ 2.194,80</v>
      </c>
    </row>
    <row r="1585" spans="1:11" x14ac:dyDescent="0.25">
      <c r="A1585" t="str">
        <f>"00028436 / 1"</f>
        <v>00028436 / 1</v>
      </c>
      <c r="B1585" t="str">
        <f>"13° Salário Anual"</f>
        <v>13° Salário Anual</v>
      </c>
      <c r="C1585" t="str">
        <f>"Nancy Ferreira Bezerra"</f>
        <v>Nancy Ferreira Bezerra</v>
      </c>
      <c r="D1585" t="str">
        <f>"PROP IDADE"</f>
        <v>PROP IDADE</v>
      </c>
      <c r="E1585" t="str">
        <f>"Efetivo-Inativo I- RJUSM"</f>
        <v>Efetivo-Inativo I- RJUSM</v>
      </c>
      <c r="F1585" t="str">
        <f>"R$ 1.100,00"</f>
        <v>R$ 1.100,00</v>
      </c>
      <c r="G1585" t="str">
        <f>"R$ 1.100,00"</f>
        <v>R$ 1.100,00</v>
      </c>
      <c r="H1585" t="str">
        <f t="shared" si="163"/>
        <v>R$ 0,00</v>
      </c>
      <c r="I1585" t="str">
        <f>"R$ 1.100,00"</f>
        <v>R$ 1.100,00</v>
      </c>
      <c r="J1585" t="str">
        <f>"R$ 550,00"</f>
        <v>R$ 550,00</v>
      </c>
      <c r="K1585" t="str">
        <f>"R$ 550,00"</f>
        <v>R$ 550,00</v>
      </c>
    </row>
    <row r="1586" spans="1:11" x14ac:dyDescent="0.25">
      <c r="A1586" t="str">
        <f>"00028436 / 1"</f>
        <v>00028436 / 1</v>
      </c>
      <c r="B1586" t="str">
        <f>"Folha Mensal"</f>
        <v>Folha Mensal</v>
      </c>
      <c r="C1586" t="str">
        <f>"Nancy Ferreira Bezerra"</f>
        <v>Nancy Ferreira Bezerra</v>
      </c>
      <c r="D1586" t="str">
        <f>"PROP IDADE"</f>
        <v>PROP IDADE</v>
      </c>
      <c r="E1586" t="str">
        <f>"Efetivo-Inativo I- RJUSM"</f>
        <v>Efetivo-Inativo I- RJUSM</v>
      </c>
      <c r="F1586" t="str">
        <f>"R$ 1.100,00"</f>
        <v>R$ 1.100,00</v>
      </c>
      <c r="G1586" t="str">
        <f>"R$ 1.100,00"</f>
        <v>R$ 1.100,00</v>
      </c>
      <c r="H1586" t="str">
        <f t="shared" si="163"/>
        <v>R$ 0,00</v>
      </c>
      <c r="I1586" t="str">
        <f>"R$ 1.100,00"</f>
        <v>R$ 1.100,00</v>
      </c>
      <c r="J1586" t="str">
        <f>"R$ 0,00"</f>
        <v>R$ 0,00</v>
      </c>
      <c r="K1586" t="str">
        <f>"R$ 1.100,00"</f>
        <v>R$ 1.100,00</v>
      </c>
    </row>
    <row r="1587" spans="1:11" x14ac:dyDescent="0.25">
      <c r="A1587" t="str">
        <f>"00052663 / 2"</f>
        <v>00052663 / 2</v>
      </c>
      <c r="B1587" t="str">
        <f>"13° Salário Anual"</f>
        <v>13° Salário Anual</v>
      </c>
      <c r="C1587" t="str">
        <f>"Nara Maria Barbosa da Silva"</f>
        <v>Nara Maria Barbosa da Silva</v>
      </c>
      <c r="D1587" t="str">
        <f>"PROFESSOR NIVEL III"</f>
        <v>PROFESSOR NIVEL III</v>
      </c>
      <c r="E1587" t="str">
        <f>"Efetivo-Inativos II-RJUSM"</f>
        <v>Efetivo-Inativos II-RJUSM</v>
      </c>
      <c r="F1587" t="str">
        <f>"R$ 4.879,99"</f>
        <v>R$ 4.879,99</v>
      </c>
      <c r="G1587" t="str">
        <f>"R$ 5.855,98"</f>
        <v>R$ 5.855,98</v>
      </c>
      <c r="H1587" t="str">
        <f t="shared" si="163"/>
        <v>R$ 0,00</v>
      </c>
      <c r="I1587" t="str">
        <f>"R$ 5.855,98"</f>
        <v>R$ 5.855,98</v>
      </c>
      <c r="J1587" t="str">
        <f>"R$ 3.669,02"</f>
        <v>R$ 3.669,02</v>
      </c>
      <c r="K1587" t="str">
        <f>"R$ 2.186,96"</f>
        <v>R$ 2.186,96</v>
      </c>
    </row>
    <row r="1588" spans="1:11" x14ac:dyDescent="0.25">
      <c r="A1588" t="str">
        <f>"00052663 / 2"</f>
        <v>00052663 / 2</v>
      </c>
      <c r="B1588" t="str">
        <f>"Folha Mensal"</f>
        <v>Folha Mensal</v>
      </c>
      <c r="C1588" t="str">
        <f>"Nara Maria Barbosa da Silva"</f>
        <v>Nara Maria Barbosa da Silva</v>
      </c>
      <c r="D1588" t="str">
        <f>"PROFESSOR NIVEL III"</f>
        <v>PROFESSOR NIVEL III</v>
      </c>
      <c r="E1588" t="str">
        <f>"Efetivo-Inativos II-RJUSM"</f>
        <v>Efetivo-Inativos II-RJUSM</v>
      </c>
      <c r="F1588" t="str">
        <f>"R$ 4.879,99"</f>
        <v>R$ 4.879,99</v>
      </c>
      <c r="G1588" t="str">
        <f>"R$ 5.855,98"</f>
        <v>R$ 5.855,98</v>
      </c>
      <c r="H1588" t="str">
        <f t="shared" si="163"/>
        <v>R$ 0,00</v>
      </c>
      <c r="I1588" t="str">
        <f>"R$ 5.855,98"</f>
        <v>R$ 5.855,98</v>
      </c>
      <c r="J1588" t="str">
        <f>"R$ 1.991,15"</f>
        <v>R$ 1.991,15</v>
      </c>
      <c r="K1588" t="str">
        <f>"R$ 3.864,83"</f>
        <v>R$ 3.864,83</v>
      </c>
    </row>
    <row r="1589" spans="1:11" x14ac:dyDescent="0.25">
      <c r="A1589" t="str">
        <f>"00346659 / 2"</f>
        <v>00346659 / 2</v>
      </c>
      <c r="B1589" t="str">
        <f>"13° Salário Anual"</f>
        <v>13° Salário Anual</v>
      </c>
      <c r="C1589" t="str">
        <f>"Narlice Lima da Silva"</f>
        <v>Narlice Lima da Silva</v>
      </c>
      <c r="D1589" t="str">
        <f>"PROFESSOR NIVEL II"</f>
        <v>PROFESSOR NIVEL II</v>
      </c>
      <c r="E1589" t="str">
        <f>"Efetivo-Inativos II-RJUSM"</f>
        <v>Efetivo-Inativos II-RJUSM</v>
      </c>
      <c r="F1589" t="str">
        <f>"R$ 2.071,52"</f>
        <v>R$ 2.071,52</v>
      </c>
      <c r="G1589" t="str">
        <f>"R$ 2.071,52"</f>
        <v>R$ 2.071,52</v>
      </c>
      <c r="H1589" t="str">
        <f t="shared" si="163"/>
        <v>R$ 0,00</v>
      </c>
      <c r="I1589" t="str">
        <f>"R$ 2.071,52"</f>
        <v>R$ 2.071,52</v>
      </c>
      <c r="J1589" t="str">
        <f>"R$ 1.035,76"</f>
        <v>R$ 1.035,76</v>
      </c>
      <c r="K1589" t="str">
        <f>"R$ 1.035,76"</f>
        <v>R$ 1.035,76</v>
      </c>
    </row>
    <row r="1590" spans="1:11" x14ac:dyDescent="0.25">
      <c r="A1590" t="str">
        <f>"00346659 / 2"</f>
        <v>00346659 / 2</v>
      </c>
      <c r="B1590" t="str">
        <f>"Folha Mensal"</f>
        <v>Folha Mensal</v>
      </c>
      <c r="C1590" t="str">
        <f>"Narlice Lima da Silva"</f>
        <v>Narlice Lima da Silva</v>
      </c>
      <c r="D1590" t="str">
        <f>"PROFESSOR NIVEL II"</f>
        <v>PROFESSOR NIVEL II</v>
      </c>
      <c r="E1590" t="str">
        <f>"Efetivo-Inativos II-RJUSM"</f>
        <v>Efetivo-Inativos II-RJUSM</v>
      </c>
      <c r="F1590" t="str">
        <f>"R$ 2.071,52"</f>
        <v>R$ 2.071,52</v>
      </c>
      <c r="G1590" t="str">
        <f>"R$ 2.071,52"</f>
        <v>R$ 2.071,52</v>
      </c>
      <c r="H1590" t="str">
        <f t="shared" si="163"/>
        <v>R$ 0,00</v>
      </c>
      <c r="I1590" t="str">
        <f>"R$ 2.071,52"</f>
        <v>R$ 2.071,52</v>
      </c>
      <c r="J1590" t="str">
        <f>"R$ 0,00"</f>
        <v>R$ 0,00</v>
      </c>
      <c r="K1590" t="str">
        <f>"R$ 2.071,52"</f>
        <v>R$ 2.071,52</v>
      </c>
    </row>
    <row r="1591" spans="1:11" x14ac:dyDescent="0.25">
      <c r="A1591" t="str">
        <f>"00002143 / 1"</f>
        <v>00002143 / 1</v>
      </c>
      <c r="B1591" t="str">
        <f>"13° Salário Anual"</f>
        <v>13° Salário Anual</v>
      </c>
      <c r="C1591" t="str">
        <f>"Natalina de Jesus Ferreira Pinto"</f>
        <v>Natalina de Jesus Ferreira Pinto</v>
      </c>
      <c r="D1591" t="str">
        <f>"PROFESSOR"</f>
        <v>PROFESSOR</v>
      </c>
      <c r="E1591" t="str">
        <f>"Efetivo-Inativo I- RJUSM"</f>
        <v>Efetivo-Inativo I- RJUSM</v>
      </c>
      <c r="F1591" t="str">
        <f>"R$ 2.071,51"</f>
        <v>R$ 2.071,51</v>
      </c>
      <c r="G1591" t="str">
        <f>"R$ 2.692,96"</f>
        <v>R$ 2.692,96</v>
      </c>
      <c r="H1591" t="str">
        <f t="shared" si="163"/>
        <v>R$ 0,00</v>
      </c>
      <c r="I1591" t="str">
        <f>"R$ 2.692,96"</f>
        <v>R$ 2.692,96</v>
      </c>
      <c r="J1591" t="str">
        <f>"R$ 1.405,65"</f>
        <v>R$ 1.405,65</v>
      </c>
      <c r="K1591" t="str">
        <f>"R$ 1.287,31"</f>
        <v>R$ 1.287,31</v>
      </c>
    </row>
    <row r="1592" spans="1:11" x14ac:dyDescent="0.25">
      <c r="A1592" t="str">
        <f>"00002143 / 1"</f>
        <v>00002143 / 1</v>
      </c>
      <c r="B1592" t="str">
        <f>"Folha Mensal"</f>
        <v>Folha Mensal</v>
      </c>
      <c r="C1592" t="str">
        <f>"Natalina de Jesus Ferreira Pinto"</f>
        <v>Natalina de Jesus Ferreira Pinto</v>
      </c>
      <c r="D1592" t="str">
        <f>"PROFESSOR"</f>
        <v>PROFESSOR</v>
      </c>
      <c r="E1592" t="str">
        <f>"Efetivo-Inativo I- RJUSM"</f>
        <v>Efetivo-Inativo I- RJUSM</v>
      </c>
      <c r="F1592" t="str">
        <f>"R$ 2.071,51"</f>
        <v>R$ 2.071,51</v>
      </c>
      <c r="G1592" t="str">
        <f>"R$ 2.692,96"</f>
        <v>R$ 2.692,96</v>
      </c>
      <c r="H1592" t="str">
        <f t="shared" si="163"/>
        <v>R$ 0,00</v>
      </c>
      <c r="I1592" t="str">
        <f>"R$ 2.692,96"</f>
        <v>R$ 2.692,96</v>
      </c>
      <c r="J1592" t="str">
        <f>"R$ 735,25"</f>
        <v>R$ 735,25</v>
      </c>
      <c r="K1592" t="str">
        <f>"R$ 1.957,71"</f>
        <v>R$ 1.957,71</v>
      </c>
    </row>
    <row r="1593" spans="1:11" x14ac:dyDescent="0.25">
      <c r="A1593" t="str">
        <f>"00003450 / 1"</f>
        <v>00003450 / 1</v>
      </c>
      <c r="B1593" t="str">
        <f>"13° Salário Anual"</f>
        <v>13° Salário Anual</v>
      </c>
      <c r="C1593" t="str">
        <f>"Nazare Barbosa da Silva"</f>
        <v>Nazare Barbosa da Silva</v>
      </c>
      <c r="D1593" t="str">
        <f>"PROFESSOR NIVEL I"</f>
        <v>PROFESSOR NIVEL I</v>
      </c>
      <c r="E1593" t="str">
        <f>"Efetivo-Inativo I- RJUSM"</f>
        <v>Efetivo-Inativo I- RJUSM</v>
      </c>
      <c r="F1593" t="str">
        <f>"R$ 4.621,06"</f>
        <v>R$ 4.621,06</v>
      </c>
      <c r="G1593" t="str">
        <f>"R$ 5.776,32"</f>
        <v>R$ 5.776,32</v>
      </c>
      <c r="H1593" t="str">
        <f t="shared" si="163"/>
        <v>R$ 0,00</v>
      </c>
      <c r="I1593" t="str">
        <f>"R$ 5.776,32"</f>
        <v>R$ 5.776,32</v>
      </c>
      <c r="J1593" t="str">
        <f>"R$ 3.607,28"</f>
        <v>R$ 3.607,28</v>
      </c>
      <c r="K1593" t="str">
        <f>"R$ 2.169,04"</f>
        <v>R$ 2.169,04</v>
      </c>
    </row>
    <row r="1594" spans="1:11" x14ac:dyDescent="0.25">
      <c r="A1594" t="str">
        <f>"00003450 / 1"</f>
        <v>00003450 / 1</v>
      </c>
      <c r="B1594" t="str">
        <f>"Folha Mensal"</f>
        <v>Folha Mensal</v>
      </c>
      <c r="C1594" t="str">
        <f>"Nazare Barbosa da Silva"</f>
        <v>Nazare Barbosa da Silva</v>
      </c>
      <c r="D1594" t="str">
        <f>"PROFESSOR NIVEL I"</f>
        <v>PROFESSOR NIVEL I</v>
      </c>
      <c r="E1594" t="str">
        <f>"Efetivo-Inativo I- RJUSM"</f>
        <v>Efetivo-Inativo I- RJUSM</v>
      </c>
      <c r="F1594" t="str">
        <f>"R$ 4.621,06"</f>
        <v>R$ 4.621,06</v>
      </c>
      <c r="G1594" t="str">
        <f>"R$ 5.776,32"</f>
        <v>R$ 5.776,32</v>
      </c>
      <c r="H1594" t="str">
        <f t="shared" si="163"/>
        <v>R$ 0,00</v>
      </c>
      <c r="I1594" t="str">
        <f>"R$ 5.776,32"</f>
        <v>R$ 5.776,32</v>
      </c>
      <c r="J1594" t="str">
        <f>"R$ 1.998,82"</f>
        <v>R$ 1.998,82</v>
      </c>
      <c r="K1594" t="str">
        <f>"R$ 3.777,50"</f>
        <v>R$ 3.777,50</v>
      </c>
    </row>
    <row r="1595" spans="1:11" x14ac:dyDescent="0.25">
      <c r="A1595" t="str">
        <f>"00003549 / 1"</f>
        <v>00003549 / 1</v>
      </c>
      <c r="B1595" t="str">
        <f>"13° Salário Anual"</f>
        <v>13° Salário Anual</v>
      </c>
      <c r="C1595" t="str">
        <f>"Nazare Conceicao de Oliveira"</f>
        <v>Nazare Conceicao de Oliveira</v>
      </c>
      <c r="D1595" t="str">
        <f>"TECNICO MUNICIPAL"</f>
        <v>TECNICO MUNICIPAL</v>
      </c>
      <c r="E1595" t="str">
        <f>"Efetivo-Inativos II-RJUSM"</f>
        <v>Efetivo-Inativos II-RJUSM</v>
      </c>
      <c r="F1595" t="str">
        <f>"R$ 1.028,75"</f>
        <v>R$ 1.028,75</v>
      </c>
      <c r="G1595" t="str">
        <f>"R$ 1.337,37"</f>
        <v>R$ 1.337,37</v>
      </c>
      <c r="H1595" t="str">
        <f t="shared" si="163"/>
        <v>R$ 0,00</v>
      </c>
      <c r="I1595" t="str">
        <f>"R$ 1.337,37"</f>
        <v>R$ 1.337,37</v>
      </c>
      <c r="J1595" t="str">
        <f>"R$ 668,68"</f>
        <v>R$ 668,68</v>
      </c>
      <c r="K1595" t="str">
        <f>"R$ 668,69"</f>
        <v>R$ 668,69</v>
      </c>
    </row>
    <row r="1596" spans="1:11" x14ac:dyDescent="0.25">
      <c r="A1596" t="str">
        <f>"00003549 / 1"</f>
        <v>00003549 / 1</v>
      </c>
      <c r="B1596" t="str">
        <f>"Folha Mensal"</f>
        <v>Folha Mensal</v>
      </c>
      <c r="C1596" t="str">
        <f>"Nazare Conceicao de Oliveira"</f>
        <v>Nazare Conceicao de Oliveira</v>
      </c>
      <c r="D1596" t="str">
        <f>"TECNICO MUNICIPAL"</f>
        <v>TECNICO MUNICIPAL</v>
      </c>
      <c r="E1596" t="str">
        <f>"Efetivo-Inativos II-RJUSM"</f>
        <v>Efetivo-Inativos II-RJUSM</v>
      </c>
      <c r="F1596" t="str">
        <f>"R$ 1.028,75"</f>
        <v>R$ 1.028,75</v>
      </c>
      <c r="G1596" t="str">
        <f>"R$ 1.337,37"</f>
        <v>R$ 1.337,37</v>
      </c>
      <c r="H1596" t="str">
        <f t="shared" si="163"/>
        <v>R$ 0,00</v>
      </c>
      <c r="I1596" t="str">
        <f>"R$ 1.337,37"</f>
        <v>R$ 1.337,37</v>
      </c>
      <c r="J1596" t="str">
        <f>"R$ 401,07"</f>
        <v>R$ 401,07</v>
      </c>
      <c r="K1596" t="str">
        <f>"R$ 936,30"</f>
        <v>R$ 936,30</v>
      </c>
    </row>
    <row r="1597" spans="1:11" x14ac:dyDescent="0.25">
      <c r="A1597" t="str">
        <f>"00024996 / 2"</f>
        <v>00024996 / 2</v>
      </c>
      <c r="B1597" t="str">
        <f>"13° Salário Anual"</f>
        <v>13° Salário Anual</v>
      </c>
      <c r="C1597" t="str">
        <f>"Nazare de Fatima Cruz da Silva"</f>
        <v>Nazare de Fatima Cruz da Silva</v>
      </c>
      <c r="D1597" t="str">
        <f>"PROFESSOR"</f>
        <v>PROFESSOR</v>
      </c>
      <c r="E1597" t="str">
        <f>"Efetivo-Inativo I- RJUSM"</f>
        <v>Efetivo-Inativo I- RJUSM</v>
      </c>
      <c r="F1597" t="str">
        <f>"R$ 1.593,46"</f>
        <v>R$ 1.593,46</v>
      </c>
      <c r="G1597" t="str">
        <f>"R$ 1.991,82"</f>
        <v>R$ 1.991,82</v>
      </c>
      <c r="H1597" t="str">
        <f t="shared" si="163"/>
        <v>R$ 0,00</v>
      </c>
      <c r="I1597" t="str">
        <f>"R$ 1.991,82"</f>
        <v>R$ 1.991,82</v>
      </c>
      <c r="J1597" t="str">
        <f>"R$ 1.002,49"</f>
        <v>R$ 1.002,49</v>
      </c>
      <c r="K1597" t="str">
        <f>"R$ 989,33"</f>
        <v>R$ 989,33</v>
      </c>
    </row>
    <row r="1598" spans="1:11" x14ac:dyDescent="0.25">
      <c r="A1598" t="str">
        <f>"00024996 / 2"</f>
        <v>00024996 / 2</v>
      </c>
      <c r="B1598" t="str">
        <f>"Folha Mensal"</f>
        <v>Folha Mensal</v>
      </c>
      <c r="C1598" t="str">
        <f>"Nazare de Fatima Cruz da Silva"</f>
        <v>Nazare de Fatima Cruz da Silva</v>
      </c>
      <c r="D1598" t="str">
        <f>"PROFESSOR"</f>
        <v>PROFESSOR</v>
      </c>
      <c r="E1598" t="str">
        <f>"Efetivo-Inativo I- RJUSM"</f>
        <v>Efetivo-Inativo I- RJUSM</v>
      </c>
      <c r="F1598" t="str">
        <f>"R$ 1.593,46"</f>
        <v>R$ 1.593,46</v>
      </c>
      <c r="G1598" t="str">
        <f>"R$ 1.991,82"</f>
        <v>R$ 1.991,82</v>
      </c>
      <c r="H1598" t="str">
        <f t="shared" si="163"/>
        <v>R$ 0,00</v>
      </c>
      <c r="I1598" t="str">
        <f>"R$ 1.991,82"</f>
        <v>R$ 1.991,82</v>
      </c>
      <c r="J1598" t="str">
        <f>"R$ 558,71"</f>
        <v>R$ 558,71</v>
      </c>
      <c r="K1598" t="str">
        <f>"R$ 1.433,11"</f>
        <v>R$ 1.433,11</v>
      </c>
    </row>
    <row r="1599" spans="1:11" x14ac:dyDescent="0.25">
      <c r="A1599" t="str">
        <f>"03642577 / 1"</f>
        <v>03642577 / 1</v>
      </c>
      <c r="B1599" t="str">
        <f>"13° Salário Anual"</f>
        <v>13° Salário Anual</v>
      </c>
      <c r="C1599" t="str">
        <f>"Nazare do Socorro Gillet das Neves"</f>
        <v>Nazare do Socorro Gillet das Neves</v>
      </c>
      <c r="D1599" t="str">
        <f>"PENSIONISTA DE PROFESSOR"</f>
        <v>PENSIONISTA DE PROFESSOR</v>
      </c>
      <c r="E1599" t="str">
        <f>"Pensionista"</f>
        <v>Pensionista</v>
      </c>
      <c r="F1599" t="str">
        <f>"R$ 1.418,50"</f>
        <v>R$ 1.418,50</v>
      </c>
      <c r="G1599" t="str">
        <f>"R$ 1.489,42"</f>
        <v>R$ 1.489,42</v>
      </c>
      <c r="H1599" t="str">
        <f t="shared" si="163"/>
        <v>R$ 0,00</v>
      </c>
      <c r="I1599" t="str">
        <f>"R$ 1.489,42"</f>
        <v>R$ 1.489,42</v>
      </c>
      <c r="J1599" t="str">
        <f>"R$ 744,71"</f>
        <v>R$ 744,71</v>
      </c>
      <c r="K1599" t="str">
        <f>"R$ 744,71"</f>
        <v>R$ 744,71</v>
      </c>
    </row>
    <row r="1600" spans="1:11" x14ac:dyDescent="0.25">
      <c r="A1600" t="str">
        <f>"03642577 / 1"</f>
        <v>03642577 / 1</v>
      </c>
      <c r="B1600" t="str">
        <f>"Folha Mensal"</f>
        <v>Folha Mensal</v>
      </c>
      <c r="C1600" t="str">
        <f>"Nazare do Socorro Gillet das Neves"</f>
        <v>Nazare do Socorro Gillet das Neves</v>
      </c>
      <c r="D1600" t="str">
        <f>"PENSIONISTA DE PROFESSOR"</f>
        <v>PENSIONISTA DE PROFESSOR</v>
      </c>
      <c r="E1600" t="str">
        <f>"Pensionista"</f>
        <v>Pensionista</v>
      </c>
      <c r="F1600" t="str">
        <f>"R$ 1.418,50"</f>
        <v>R$ 1.418,50</v>
      </c>
      <c r="G1600" t="str">
        <f>"R$ 1.489,42"</f>
        <v>R$ 1.489,42</v>
      </c>
      <c r="H1600" t="str">
        <f t="shared" si="163"/>
        <v>R$ 0,00</v>
      </c>
      <c r="I1600" t="str">
        <f>"R$ 1.489,42"</f>
        <v>R$ 1.489,42</v>
      </c>
      <c r="J1600" t="str">
        <f>"R$ 0,00"</f>
        <v>R$ 0,00</v>
      </c>
      <c r="K1600" t="str">
        <f>"R$ 1.489,42"</f>
        <v>R$ 1.489,42</v>
      </c>
    </row>
    <row r="1601" spans="1:11" x14ac:dyDescent="0.25">
      <c r="A1601" t="str">
        <f>"03643174 / 1"</f>
        <v>03643174 / 1</v>
      </c>
      <c r="B1601" t="str">
        <f>"13° Salário Anual"</f>
        <v>13° Salário Anual</v>
      </c>
      <c r="C1601" t="str">
        <f>"Nazare Ferreira de Sousa"</f>
        <v>Nazare Ferreira de Sousa</v>
      </c>
      <c r="D1601" t="str">
        <f>"PENSIONISTA"</f>
        <v>PENSIONISTA</v>
      </c>
      <c r="E1601" t="str">
        <f>"Pensionista"</f>
        <v>Pensionista</v>
      </c>
      <c r="F1601" t="str">
        <f>"R$ 1.100,00"</f>
        <v>R$ 1.100,00</v>
      </c>
      <c r="G1601" t="str">
        <f>"R$ 1.155,00"</f>
        <v>R$ 1.155,00</v>
      </c>
      <c r="H1601" t="str">
        <f t="shared" si="163"/>
        <v>R$ 0,00</v>
      </c>
      <c r="I1601" t="str">
        <f>"R$ 1.155,00"</f>
        <v>R$ 1.155,00</v>
      </c>
      <c r="J1601" t="str">
        <f>"R$ 577,50"</f>
        <v>R$ 577,50</v>
      </c>
      <c r="K1601" t="str">
        <f>"R$ 577,50"</f>
        <v>R$ 577,50</v>
      </c>
    </row>
    <row r="1602" spans="1:11" x14ac:dyDescent="0.25">
      <c r="A1602" t="str">
        <f>"03643174 / 1"</f>
        <v>03643174 / 1</v>
      </c>
      <c r="B1602" t="str">
        <f>"Folha Mensal"</f>
        <v>Folha Mensal</v>
      </c>
      <c r="C1602" t="str">
        <f>"Nazare Ferreira de Sousa"</f>
        <v>Nazare Ferreira de Sousa</v>
      </c>
      <c r="D1602" t="str">
        <f>"PENSIONISTA"</f>
        <v>PENSIONISTA</v>
      </c>
      <c r="E1602" t="str">
        <f>"Pensionista"</f>
        <v>Pensionista</v>
      </c>
      <c r="F1602" t="str">
        <f>"R$ 1.100,00"</f>
        <v>R$ 1.100,00</v>
      </c>
      <c r="G1602" t="str">
        <f>"R$ 1.155,00"</f>
        <v>R$ 1.155,00</v>
      </c>
      <c r="H1602" t="str">
        <f t="shared" si="163"/>
        <v>R$ 0,00</v>
      </c>
      <c r="I1602" t="str">
        <f>"R$ 1.155,00"</f>
        <v>R$ 1.155,00</v>
      </c>
      <c r="J1602" t="str">
        <f>"R$ 385,10"</f>
        <v>R$ 385,10</v>
      </c>
      <c r="K1602" t="str">
        <f>"R$ 769,90"</f>
        <v>R$ 769,90</v>
      </c>
    </row>
    <row r="1603" spans="1:11" x14ac:dyDescent="0.25">
      <c r="A1603" t="str">
        <f>"00024988 / 1"</f>
        <v>00024988 / 1</v>
      </c>
      <c r="B1603" t="str">
        <f>"13° Salário Anual"</f>
        <v>13° Salário Anual</v>
      </c>
      <c r="C1603" t="str">
        <f>"Nazare Gilda Loureiro Nordeste"</f>
        <v>Nazare Gilda Loureiro Nordeste</v>
      </c>
      <c r="D1603" t="str">
        <f>"PROFESSOR"</f>
        <v>PROFESSOR</v>
      </c>
      <c r="E1603" t="str">
        <f>"Efetivo-Inativo I- RJUSM"</f>
        <v>Efetivo-Inativo I- RJUSM</v>
      </c>
      <c r="F1603" t="str">
        <f>"R$ 2.071,51"</f>
        <v>R$ 2.071,51</v>
      </c>
      <c r="G1603" t="str">
        <f>"R$ 2.589,38"</f>
        <v>R$ 2.589,38</v>
      </c>
      <c r="H1603" t="str">
        <f t="shared" si="163"/>
        <v>R$ 0,00</v>
      </c>
      <c r="I1603" t="str">
        <f>"R$ 2.589,38"</f>
        <v>R$ 2.589,38</v>
      </c>
      <c r="J1603" t="str">
        <f>"R$ 1.294,69"</f>
        <v>R$ 1.294,69</v>
      </c>
      <c r="K1603" t="str">
        <f>"R$ 1.294,69"</f>
        <v>R$ 1.294,69</v>
      </c>
    </row>
    <row r="1604" spans="1:11" x14ac:dyDescent="0.25">
      <c r="A1604" t="str">
        <f>"00024988 / 1"</f>
        <v>00024988 / 1</v>
      </c>
      <c r="B1604" t="str">
        <f>"Folha Mensal"</f>
        <v>Folha Mensal</v>
      </c>
      <c r="C1604" t="str">
        <f>"Nazare Gilda Loureiro Nordeste"</f>
        <v>Nazare Gilda Loureiro Nordeste</v>
      </c>
      <c r="D1604" t="str">
        <f>"PROFESSOR"</f>
        <v>PROFESSOR</v>
      </c>
      <c r="E1604" t="str">
        <f>"Efetivo-Inativo I- RJUSM"</f>
        <v>Efetivo-Inativo I- RJUSM</v>
      </c>
      <c r="F1604" t="str">
        <f>"R$ 2.071,51"</f>
        <v>R$ 2.071,51</v>
      </c>
      <c r="G1604" t="str">
        <f>"R$ 2.589,38"</f>
        <v>R$ 2.589,38</v>
      </c>
      <c r="H1604" t="str">
        <f t="shared" si="163"/>
        <v>R$ 0,00</v>
      </c>
      <c r="I1604" t="str">
        <f>"R$ 2.589,38"</f>
        <v>R$ 2.589,38</v>
      </c>
      <c r="J1604" t="str">
        <f>"R$ 0,00"</f>
        <v>R$ 0,00</v>
      </c>
      <c r="K1604" t="str">
        <f>"R$ 2.589,38"</f>
        <v>R$ 2.589,38</v>
      </c>
    </row>
    <row r="1605" spans="1:11" x14ac:dyDescent="0.25">
      <c r="A1605" t="str">
        <f>"03641058 / 1"</f>
        <v>03641058 / 1</v>
      </c>
      <c r="B1605" t="str">
        <f>"13° Salário Anual"</f>
        <v>13° Salário Anual</v>
      </c>
      <c r="C1605" t="str">
        <f>"Nazare Tainara Pantoja da Silva"</f>
        <v>Nazare Tainara Pantoja da Silva</v>
      </c>
      <c r="D1605" t="str">
        <f>"DAS 07"</f>
        <v>DAS 07</v>
      </c>
      <c r="E1605" t="str">
        <f>"Comissionado"</f>
        <v>Comissionado</v>
      </c>
      <c r="F1605" t="str">
        <f>"R$ 3.154,55"</f>
        <v>R$ 3.154,55</v>
      </c>
      <c r="G1605" t="str">
        <f>"R$ 2.628,79"</f>
        <v>R$ 2.628,79</v>
      </c>
      <c r="H1605" t="str">
        <f t="shared" si="163"/>
        <v>R$ 0,00</v>
      </c>
      <c r="I1605" t="str">
        <f>"R$ 2.628,79"</f>
        <v>R$ 2.628,79</v>
      </c>
      <c r="J1605" t="str">
        <f>"R$ 1.584,12"</f>
        <v>R$ 1.584,12</v>
      </c>
      <c r="K1605" t="str">
        <f>"R$ 1.044,67"</f>
        <v>R$ 1.044,67</v>
      </c>
    </row>
    <row r="1606" spans="1:11" x14ac:dyDescent="0.25">
      <c r="A1606" t="str">
        <f>"03641058 / 1"</f>
        <v>03641058 / 1</v>
      </c>
      <c r="B1606" t="str">
        <f>"Folha Mensal"</f>
        <v>Folha Mensal</v>
      </c>
      <c r="C1606" t="str">
        <f>"Nazare Tainara Pantoja da Silva"</f>
        <v>Nazare Tainara Pantoja da Silva</v>
      </c>
      <c r="D1606" t="str">
        <f>"DAS 07"</f>
        <v>DAS 07</v>
      </c>
      <c r="E1606" t="str">
        <f>"Comissionado"</f>
        <v>Comissionado</v>
      </c>
      <c r="F1606" t="str">
        <f>"R$ 3.154,55"</f>
        <v>R$ 3.154,55</v>
      </c>
      <c r="G1606" t="str">
        <f>"R$ 3.154,55"</f>
        <v>R$ 3.154,55</v>
      </c>
      <c r="H1606" t="str">
        <f t="shared" si="163"/>
        <v>R$ 0,00</v>
      </c>
      <c r="I1606" t="str">
        <f>"R$ 3.154,55"</f>
        <v>R$ 3.154,55</v>
      </c>
      <c r="J1606" t="str">
        <f>"R$ 369,92"</f>
        <v>R$ 369,92</v>
      </c>
      <c r="K1606" t="str">
        <f>"R$ 2.784,63"</f>
        <v>R$ 2.784,63</v>
      </c>
    </row>
    <row r="1607" spans="1:11" x14ac:dyDescent="0.25">
      <c r="A1607" t="str">
        <f>"00030244 / 1"</f>
        <v>00030244 / 1</v>
      </c>
      <c r="B1607" t="str">
        <f>"13° Salário Anual"</f>
        <v>13° Salário Anual</v>
      </c>
      <c r="C1607" t="str">
        <f>"Nazilda Nascimento Duarte"</f>
        <v>Nazilda Nascimento Duarte</v>
      </c>
      <c r="D1607" t="str">
        <f>"PROFESSOR NIVEL III"</f>
        <v>PROFESSOR NIVEL III</v>
      </c>
      <c r="E1607" t="str">
        <f t="shared" ref="E1607:E1612" si="164">"Efetivo-Inativos II-RJUSM"</f>
        <v>Efetivo-Inativos II-RJUSM</v>
      </c>
      <c r="F1607" t="str">
        <f>"R$ 5.895,88"</f>
        <v>R$ 5.895,88</v>
      </c>
      <c r="G1607" t="str">
        <f>"R$ 7.664,64"</f>
        <v>R$ 7.664,64</v>
      </c>
      <c r="H1607" t="str">
        <f t="shared" si="163"/>
        <v>R$ 0,00</v>
      </c>
      <c r="I1607" t="str">
        <f>"R$ 7.664,64"</f>
        <v>R$ 7.664,64</v>
      </c>
      <c r="J1607" t="str">
        <f>"R$ 5.229,43"</f>
        <v>R$ 5.229,43</v>
      </c>
      <c r="K1607" t="str">
        <f>"R$ 2.435,21"</f>
        <v>R$ 2.435,21</v>
      </c>
    </row>
    <row r="1608" spans="1:11" x14ac:dyDescent="0.25">
      <c r="A1608" t="str">
        <f>"00030244 / 1"</f>
        <v>00030244 / 1</v>
      </c>
      <c r="B1608" t="str">
        <f>"Folha Mensal"</f>
        <v>Folha Mensal</v>
      </c>
      <c r="C1608" t="str">
        <f>"Nazilda Nascimento Duarte"</f>
        <v>Nazilda Nascimento Duarte</v>
      </c>
      <c r="D1608" t="str">
        <f>"PROFESSOR NIVEL III"</f>
        <v>PROFESSOR NIVEL III</v>
      </c>
      <c r="E1608" t="str">
        <f t="shared" si="164"/>
        <v>Efetivo-Inativos II-RJUSM</v>
      </c>
      <c r="F1608" t="str">
        <f>"R$ 5.895,88"</f>
        <v>R$ 5.895,88</v>
      </c>
      <c r="G1608" t="str">
        <f>"R$ 7.664,64"</f>
        <v>R$ 7.664,64</v>
      </c>
      <c r="H1608" t="str">
        <f t="shared" si="163"/>
        <v>R$ 0,00</v>
      </c>
      <c r="I1608" t="str">
        <f>"R$ 7.664,64"</f>
        <v>R$ 7.664,64</v>
      </c>
      <c r="J1608" t="str">
        <f>"R$ 1.397,11"</f>
        <v>R$ 1.397,11</v>
      </c>
      <c r="K1608" t="str">
        <f>"R$ 6.267,53"</f>
        <v>R$ 6.267,53</v>
      </c>
    </row>
    <row r="1609" spans="1:11" x14ac:dyDescent="0.25">
      <c r="A1609" t="str">
        <f>"00031950 / 1"</f>
        <v>00031950 / 1</v>
      </c>
      <c r="B1609" t="str">
        <f>"13° Salário Anual"</f>
        <v>13° Salário Anual</v>
      </c>
      <c r="C1609" t="str">
        <f>"Necy Maria Trindade Rodrigues"</f>
        <v>Necy Maria Trindade Rodrigues</v>
      </c>
      <c r="D1609" t="str">
        <f>"PROFESSOR NIVEL II"</f>
        <v>PROFESSOR NIVEL II</v>
      </c>
      <c r="E1609" t="str">
        <f t="shared" si="164"/>
        <v>Efetivo-Inativos II-RJUSM</v>
      </c>
      <c r="F1609" t="str">
        <f>"R$ 5.577,14"</f>
        <v>R$ 5.577,14</v>
      </c>
      <c r="G1609" t="str">
        <f>"R$ 6.971,42"</f>
        <v>R$ 6.971,42</v>
      </c>
      <c r="H1609" t="str">
        <f t="shared" si="163"/>
        <v>R$ 0,00</v>
      </c>
      <c r="I1609" t="str">
        <f>"R$ 6.971,42"</f>
        <v>R$ 6.971,42</v>
      </c>
      <c r="J1609" t="str">
        <f>"R$ 4.621,83"</f>
        <v>R$ 4.621,83</v>
      </c>
      <c r="K1609" t="str">
        <f>"R$ 2.349,59"</f>
        <v>R$ 2.349,59</v>
      </c>
    </row>
    <row r="1610" spans="1:11" x14ac:dyDescent="0.25">
      <c r="A1610" t="str">
        <f>"00031950 / 1"</f>
        <v>00031950 / 1</v>
      </c>
      <c r="B1610" t="str">
        <f>"Folha Mensal"</f>
        <v>Folha Mensal</v>
      </c>
      <c r="C1610" t="str">
        <f>"Necy Maria Trindade Rodrigues"</f>
        <v>Necy Maria Trindade Rodrigues</v>
      </c>
      <c r="D1610" t="str">
        <f>"PROFESSOR NIVEL II"</f>
        <v>PROFESSOR NIVEL II</v>
      </c>
      <c r="E1610" t="str">
        <f t="shared" si="164"/>
        <v>Efetivo-Inativos II-RJUSM</v>
      </c>
      <c r="F1610" t="str">
        <f>"R$ 5.577,14"</f>
        <v>R$ 5.577,14</v>
      </c>
      <c r="G1610" t="str">
        <f>"R$ 6.971,42"</f>
        <v>R$ 6.971,42</v>
      </c>
      <c r="H1610" t="str">
        <f t="shared" si="163"/>
        <v>R$ 0,00</v>
      </c>
      <c r="I1610" t="str">
        <f>"R$ 6.971,42"</f>
        <v>R$ 6.971,42</v>
      </c>
      <c r="J1610" t="str">
        <f>"R$ 1.136,12"</f>
        <v>R$ 1.136,12</v>
      </c>
      <c r="K1610" t="str">
        <f>"R$ 5.835,30"</f>
        <v>R$ 5.835,30</v>
      </c>
    </row>
    <row r="1611" spans="1:11" x14ac:dyDescent="0.25">
      <c r="A1611" t="str">
        <f>"00001961 / 1"</f>
        <v>00001961 / 1</v>
      </c>
      <c r="B1611" t="str">
        <f>"13° Salário Anual"</f>
        <v>13° Salário Anual</v>
      </c>
      <c r="C1611" t="str">
        <f>"Neize Regina Silva Furriel"</f>
        <v>Neize Regina Silva Furriel</v>
      </c>
      <c r="D1611" t="str">
        <f>"INT TEMP CONTRIBUICAO"</f>
        <v>INT TEMP CONTRIBUICAO</v>
      </c>
      <c r="E1611" t="str">
        <f t="shared" si="164"/>
        <v>Efetivo-Inativos II-RJUSM</v>
      </c>
      <c r="F1611" t="str">
        <f>"R$ 1.028,75"</f>
        <v>R$ 1.028,75</v>
      </c>
      <c r="G1611" t="str">
        <f>"R$ 1.337,37"</f>
        <v>R$ 1.337,37</v>
      </c>
      <c r="H1611" t="str">
        <f t="shared" si="163"/>
        <v>R$ 0,00</v>
      </c>
      <c r="I1611" t="str">
        <f>"R$ 1.337,37"</f>
        <v>R$ 1.337,37</v>
      </c>
      <c r="J1611" t="str">
        <f>"R$ 668,68"</f>
        <v>R$ 668,68</v>
      </c>
      <c r="K1611" t="str">
        <f>"R$ 668,69"</f>
        <v>R$ 668,69</v>
      </c>
    </row>
    <row r="1612" spans="1:11" x14ac:dyDescent="0.25">
      <c r="A1612" t="str">
        <f>"00001961 / 1"</f>
        <v>00001961 / 1</v>
      </c>
      <c r="B1612" t="str">
        <f>"Folha Mensal"</f>
        <v>Folha Mensal</v>
      </c>
      <c r="C1612" t="str">
        <f>"Neize Regina Silva Furriel"</f>
        <v>Neize Regina Silva Furriel</v>
      </c>
      <c r="D1612" t="str">
        <f>"INT TEMP CONTRIBUICAO"</f>
        <v>INT TEMP CONTRIBUICAO</v>
      </c>
      <c r="E1612" t="str">
        <f t="shared" si="164"/>
        <v>Efetivo-Inativos II-RJUSM</v>
      </c>
      <c r="F1612" t="str">
        <f>"R$ 1.028,75"</f>
        <v>R$ 1.028,75</v>
      </c>
      <c r="G1612" t="str">
        <f>"R$ 1.337,37"</f>
        <v>R$ 1.337,37</v>
      </c>
      <c r="H1612" t="str">
        <f t="shared" si="163"/>
        <v>R$ 0,00</v>
      </c>
      <c r="I1612" t="str">
        <f>"R$ 1.337,37"</f>
        <v>R$ 1.337,37</v>
      </c>
      <c r="J1612" t="str">
        <f>"R$ 0,00"</f>
        <v>R$ 0,00</v>
      </c>
      <c r="K1612" t="str">
        <f>"R$ 1.337,37"</f>
        <v>R$ 1.337,37</v>
      </c>
    </row>
    <row r="1613" spans="1:11" x14ac:dyDescent="0.25">
      <c r="A1613" t="str">
        <f>"00024007 / 1"</f>
        <v>00024007 / 1</v>
      </c>
      <c r="B1613" t="str">
        <f>"13° Salário Anual"</f>
        <v>13° Salário Anual</v>
      </c>
      <c r="C1613" t="str">
        <f>"Nelci Maria Braga dos Santos"</f>
        <v>Nelci Maria Braga dos Santos</v>
      </c>
      <c r="D1613" t="str">
        <f>"PROP INVALIDEZ"</f>
        <v>PROP INVALIDEZ</v>
      </c>
      <c r="E1613" t="str">
        <f>"Efetivo-Inativo I- RJUSM"</f>
        <v>Efetivo-Inativo I- RJUSM</v>
      </c>
      <c r="F1613" t="str">
        <f>"R$ 1.016,38"</f>
        <v>R$ 1.016,38</v>
      </c>
      <c r="G1613" t="str">
        <f>"R$ 1.100,00"</f>
        <v>R$ 1.100,00</v>
      </c>
      <c r="H1613" t="str">
        <f t="shared" si="163"/>
        <v>R$ 0,00</v>
      </c>
      <c r="I1613" t="str">
        <f>"R$ 1.100,00"</f>
        <v>R$ 1.100,00</v>
      </c>
      <c r="J1613" t="str">
        <f>"R$ 550,00"</f>
        <v>R$ 550,00</v>
      </c>
      <c r="K1613" t="str">
        <f>"R$ 550,00"</f>
        <v>R$ 550,00</v>
      </c>
    </row>
    <row r="1614" spans="1:11" x14ac:dyDescent="0.25">
      <c r="A1614" t="str">
        <f>"00024007 / 1"</f>
        <v>00024007 / 1</v>
      </c>
      <c r="B1614" t="str">
        <f>"Folha Mensal"</f>
        <v>Folha Mensal</v>
      </c>
      <c r="C1614" t="str">
        <f>"Nelci Maria Braga dos Santos"</f>
        <v>Nelci Maria Braga dos Santos</v>
      </c>
      <c r="D1614" t="str">
        <f>"PROP INVALIDEZ"</f>
        <v>PROP INVALIDEZ</v>
      </c>
      <c r="E1614" t="str">
        <f>"Efetivo-Inativo I- RJUSM"</f>
        <v>Efetivo-Inativo I- RJUSM</v>
      </c>
      <c r="F1614" t="str">
        <f>"R$ 1.016,38"</f>
        <v>R$ 1.016,38</v>
      </c>
      <c r="G1614" t="str">
        <f>"R$ 1.100,00"</f>
        <v>R$ 1.100,00</v>
      </c>
      <c r="H1614" t="str">
        <f t="shared" si="163"/>
        <v>R$ 0,00</v>
      </c>
      <c r="I1614" t="str">
        <f>"R$ 1.100,00"</f>
        <v>R$ 1.100,00</v>
      </c>
      <c r="J1614" t="str">
        <f>"R$ 328,72"</f>
        <v>R$ 328,72</v>
      </c>
      <c r="K1614" t="str">
        <f>"R$ 771,28"</f>
        <v>R$ 771,28</v>
      </c>
    </row>
    <row r="1615" spans="1:11" x14ac:dyDescent="0.25">
      <c r="A1615" t="str">
        <f>"03642585 / 1"</f>
        <v>03642585 / 1</v>
      </c>
      <c r="B1615" t="str">
        <f>"13° Salário Anual"</f>
        <v>13° Salário Anual</v>
      </c>
      <c r="C1615" t="str">
        <f>"Nelson Urbano Barros"</f>
        <v>Nelson Urbano Barros</v>
      </c>
      <c r="D1615" t="str">
        <f>"PENSIONISTA DE PROFESSOR"</f>
        <v>PENSIONISTA DE PROFESSOR</v>
      </c>
      <c r="E1615" t="str">
        <f>"Pensionista"</f>
        <v>Pensionista</v>
      </c>
      <c r="F1615" t="str">
        <f>"R$ 1.593,46"</f>
        <v>R$ 1.593,46</v>
      </c>
      <c r="G1615" t="str">
        <f>"R$ 1.991,82"</f>
        <v>R$ 1.991,82</v>
      </c>
      <c r="H1615" t="str">
        <f t="shared" si="163"/>
        <v>R$ 0,00</v>
      </c>
      <c r="I1615" t="str">
        <f>"R$ 1.991,82"</f>
        <v>R$ 1.991,82</v>
      </c>
      <c r="J1615" t="str">
        <f>"R$ 995,91"</f>
        <v>R$ 995,91</v>
      </c>
      <c r="K1615" t="str">
        <f>"R$ 995,91"</f>
        <v>R$ 995,91</v>
      </c>
    </row>
    <row r="1616" spans="1:11" x14ac:dyDescent="0.25">
      <c r="A1616" t="str">
        <f>"03642585 / 1"</f>
        <v>03642585 / 1</v>
      </c>
      <c r="B1616" t="str">
        <f>"Folha Mensal"</f>
        <v>Folha Mensal</v>
      </c>
      <c r="C1616" t="str">
        <f>"Nelson Urbano Barros"</f>
        <v>Nelson Urbano Barros</v>
      </c>
      <c r="D1616" t="str">
        <f>"PENSIONISTA DE PROFESSOR"</f>
        <v>PENSIONISTA DE PROFESSOR</v>
      </c>
      <c r="E1616" t="str">
        <f>"Pensionista"</f>
        <v>Pensionista</v>
      </c>
      <c r="F1616" t="str">
        <f>"R$ 1.593,46"</f>
        <v>R$ 1.593,46</v>
      </c>
      <c r="G1616" t="str">
        <f>"R$ 1.991,82"</f>
        <v>R$ 1.991,82</v>
      </c>
      <c r="H1616" t="str">
        <f t="shared" si="163"/>
        <v>R$ 0,00</v>
      </c>
      <c r="I1616" t="str">
        <f>"R$ 1.991,82"</f>
        <v>R$ 1.991,82</v>
      </c>
      <c r="J1616" t="str">
        <f>"R$ 0,00"</f>
        <v>R$ 0,00</v>
      </c>
      <c r="K1616" t="str">
        <f>"R$ 1.991,82"</f>
        <v>R$ 1.991,82</v>
      </c>
    </row>
    <row r="1617" spans="1:11" x14ac:dyDescent="0.25">
      <c r="A1617" t="str">
        <f>"00004693 / 1"</f>
        <v>00004693 / 1</v>
      </c>
      <c r="B1617" t="str">
        <f>"13° Salário Anual"</f>
        <v>13° Salário Anual</v>
      </c>
      <c r="C1617" t="str">
        <f>"Nely Pontes da Silva"</f>
        <v>Nely Pontes da Silva</v>
      </c>
      <c r="D1617" t="str">
        <f>"INT INVALIDEZ"</f>
        <v>INT INVALIDEZ</v>
      </c>
      <c r="E1617" t="str">
        <f>"Efetivo-Inativo I- RJUSM"</f>
        <v>Efetivo-Inativo I- RJUSM</v>
      </c>
      <c r="F1617" t="str">
        <f>"R$ 1.100,00"</f>
        <v>R$ 1.100,00</v>
      </c>
      <c r="G1617" t="str">
        <f>"R$ 1.265,00"</f>
        <v>R$ 1.265,00</v>
      </c>
      <c r="H1617" t="str">
        <f t="shared" si="163"/>
        <v>R$ 0,00</v>
      </c>
      <c r="I1617" t="str">
        <f>"R$ 1.265,00"</f>
        <v>R$ 1.265,00</v>
      </c>
      <c r="J1617" t="str">
        <f>"R$ 632,50"</f>
        <v>R$ 632,50</v>
      </c>
      <c r="K1617" t="str">
        <f>"R$ 632,50"</f>
        <v>R$ 632,50</v>
      </c>
    </row>
    <row r="1618" spans="1:11" x14ac:dyDescent="0.25">
      <c r="A1618" t="str">
        <f>"00004693 / 1"</f>
        <v>00004693 / 1</v>
      </c>
      <c r="B1618" t="str">
        <f>"Folha Mensal"</f>
        <v>Folha Mensal</v>
      </c>
      <c r="C1618" t="str">
        <f>"Nely Pontes da Silva"</f>
        <v>Nely Pontes da Silva</v>
      </c>
      <c r="D1618" t="str">
        <f>"INT INVALIDEZ"</f>
        <v>INT INVALIDEZ</v>
      </c>
      <c r="E1618" t="str">
        <f>"Efetivo-Inativo I- RJUSM"</f>
        <v>Efetivo-Inativo I- RJUSM</v>
      </c>
      <c r="F1618" t="str">
        <f>"R$ 1.100,00"</f>
        <v>R$ 1.100,00</v>
      </c>
      <c r="G1618" t="str">
        <f>"R$ 1.265,00"</f>
        <v>R$ 1.265,00</v>
      </c>
      <c r="H1618" t="str">
        <f t="shared" si="163"/>
        <v>R$ 0,00</v>
      </c>
      <c r="I1618" t="str">
        <f>"R$ 1.265,00"</f>
        <v>R$ 1.265,00</v>
      </c>
      <c r="J1618" t="str">
        <f>"R$ 384,65"</f>
        <v>R$ 384,65</v>
      </c>
      <c r="K1618" t="str">
        <f>"R$ 880,35"</f>
        <v>R$ 880,35</v>
      </c>
    </row>
    <row r="1619" spans="1:11" x14ac:dyDescent="0.25">
      <c r="A1619" t="str">
        <f>"00009318 / 1"</f>
        <v>00009318 / 1</v>
      </c>
      <c r="B1619" t="str">
        <f>"13° Salário Anual"</f>
        <v>13° Salário Anual</v>
      </c>
      <c r="C1619" t="str">
        <f>"Neurandir Nazare Macedo de Oliveira"</f>
        <v>Neurandir Nazare Macedo de Oliveira</v>
      </c>
      <c r="D1619" t="str">
        <f>"PROFESSOR NIVEL II"</f>
        <v>PROFESSOR NIVEL II</v>
      </c>
      <c r="E1619" t="str">
        <f>"Efetivo-Inativos II-RJUSM"</f>
        <v>Efetivo-Inativos II-RJUSM</v>
      </c>
      <c r="F1619" t="str">
        <f>"R$ 5.736,47"</f>
        <v>R$ 5.736,47</v>
      </c>
      <c r="G1619" t="str">
        <f>"R$ 7.457,41"</f>
        <v>R$ 7.457,41</v>
      </c>
      <c r="H1619" t="str">
        <f t="shared" si="163"/>
        <v>R$ 0,00</v>
      </c>
      <c r="I1619" t="str">
        <f>"R$ 7.457,41"</f>
        <v>R$ 7.457,41</v>
      </c>
      <c r="J1619" t="str">
        <f>"R$ 4.524,19"</f>
        <v>R$ 4.524,19</v>
      </c>
      <c r="K1619" t="str">
        <f>"R$ 2.933,22"</f>
        <v>R$ 2.933,22</v>
      </c>
    </row>
    <row r="1620" spans="1:11" x14ac:dyDescent="0.25">
      <c r="A1620" t="str">
        <f>"00009318 / 1"</f>
        <v>00009318 / 1</v>
      </c>
      <c r="B1620" t="str">
        <f>"Folha Mensal"</f>
        <v>Folha Mensal</v>
      </c>
      <c r="C1620" t="str">
        <f>"Neurandir Nazare Macedo de Oliveira"</f>
        <v>Neurandir Nazare Macedo de Oliveira</v>
      </c>
      <c r="D1620" t="str">
        <f>"PROFESSOR NIVEL II"</f>
        <v>PROFESSOR NIVEL II</v>
      </c>
      <c r="E1620" t="str">
        <f>"Efetivo-Inativos II-RJUSM"</f>
        <v>Efetivo-Inativos II-RJUSM</v>
      </c>
      <c r="F1620" t="str">
        <f>"R$ 5.736,47"</f>
        <v>R$ 5.736,47</v>
      </c>
      <c r="G1620" t="str">
        <f>"R$ 7.457,41"</f>
        <v>R$ 7.457,41</v>
      </c>
      <c r="H1620" t="str">
        <f t="shared" si="163"/>
        <v>R$ 0,00</v>
      </c>
      <c r="I1620" t="str">
        <f>"R$ 7.457,41"</f>
        <v>R$ 7.457,41</v>
      </c>
      <c r="J1620" t="str">
        <f>"R$ 2.644,83"</f>
        <v>R$ 2.644,83</v>
      </c>
      <c r="K1620" t="str">
        <f>"R$ 4.812,58"</f>
        <v>R$ 4.812,58</v>
      </c>
    </row>
    <row r="1621" spans="1:11" x14ac:dyDescent="0.25">
      <c r="A1621" t="str">
        <f>"00003255 / 1"</f>
        <v>00003255 / 1</v>
      </c>
      <c r="B1621" t="str">
        <f>"13° Salário Anual"</f>
        <v>13° Salário Anual</v>
      </c>
      <c r="C1621" t="str">
        <f>"Neusa Barros Ferreira de Oliveira"</f>
        <v>Neusa Barros Ferreira de Oliveira</v>
      </c>
      <c r="D1621" t="str">
        <f>"PROFESSOR"</f>
        <v>PROFESSOR</v>
      </c>
      <c r="E1621" t="str">
        <f>"Efetivo-Inativo I- RJUSM"</f>
        <v>Efetivo-Inativo I- RJUSM</v>
      </c>
      <c r="F1621" t="str">
        <f>"R$ 2.071,51"</f>
        <v>R$ 2.071,51</v>
      </c>
      <c r="G1621" t="str">
        <f>"R$ 2.589,38"</f>
        <v>R$ 2.589,38</v>
      </c>
      <c r="H1621" t="str">
        <f t="shared" si="163"/>
        <v>R$ 0,00</v>
      </c>
      <c r="I1621" t="str">
        <f>"R$ 2.589,38"</f>
        <v>R$ 2.589,38</v>
      </c>
      <c r="J1621" t="str">
        <f>"R$ 1.294,69"</f>
        <v>R$ 1.294,69</v>
      </c>
      <c r="K1621" t="str">
        <f>"R$ 1.294,69"</f>
        <v>R$ 1.294,69</v>
      </c>
    </row>
    <row r="1622" spans="1:11" x14ac:dyDescent="0.25">
      <c r="A1622" t="str">
        <f>"00003255 / 1"</f>
        <v>00003255 / 1</v>
      </c>
      <c r="B1622" t="str">
        <f>"Folha Mensal"</f>
        <v>Folha Mensal</v>
      </c>
      <c r="C1622" t="str">
        <f>"Neusa Barros Ferreira de Oliveira"</f>
        <v>Neusa Barros Ferreira de Oliveira</v>
      </c>
      <c r="D1622" t="str">
        <f>"PROFESSOR"</f>
        <v>PROFESSOR</v>
      </c>
      <c r="E1622" t="str">
        <f>"Efetivo-Inativo I- RJUSM"</f>
        <v>Efetivo-Inativo I- RJUSM</v>
      </c>
      <c r="F1622" t="str">
        <f>"R$ 2.071,51"</f>
        <v>R$ 2.071,51</v>
      </c>
      <c r="G1622" t="str">
        <f>"R$ 2.589,38"</f>
        <v>R$ 2.589,38</v>
      </c>
      <c r="H1622" t="str">
        <f t="shared" si="163"/>
        <v>R$ 0,00</v>
      </c>
      <c r="I1622" t="str">
        <f>"R$ 2.589,38"</f>
        <v>R$ 2.589,38</v>
      </c>
      <c r="J1622" t="str">
        <f>"R$ 117,98"</f>
        <v>R$ 117,98</v>
      </c>
      <c r="K1622" t="str">
        <f>"R$ 2.471,40"</f>
        <v>R$ 2.471,40</v>
      </c>
    </row>
    <row r="1623" spans="1:11" x14ac:dyDescent="0.25">
      <c r="A1623" t="str">
        <f>"00027723 / 1"</f>
        <v>00027723 / 1</v>
      </c>
      <c r="B1623" t="str">
        <f>"13° Salário Anual"</f>
        <v>13° Salário Anual</v>
      </c>
      <c r="C1623" t="str">
        <f>"Neuza Maria Araujo"</f>
        <v>Neuza Maria Araujo</v>
      </c>
      <c r="D1623" t="str">
        <f>"PROFESSOR NIVEL I"</f>
        <v>PROFESSOR NIVEL I</v>
      </c>
      <c r="E1623" t="str">
        <f>"Efetivo-Inativo I- RJUSM"</f>
        <v>Efetivo-Inativo I- RJUSM</v>
      </c>
      <c r="F1623" t="str">
        <f>"R$ 4.621,06"</f>
        <v>R$ 4.621,06</v>
      </c>
      <c r="G1623" t="str">
        <f>"R$ 5.776,32"</f>
        <v>R$ 5.776,32</v>
      </c>
      <c r="H1623" t="str">
        <f t="shared" si="163"/>
        <v>R$ 0,00</v>
      </c>
      <c r="I1623" t="str">
        <f>"R$ 5.776,32"</f>
        <v>R$ 5.776,32</v>
      </c>
      <c r="J1623" t="str">
        <f>"R$ 3.607,28"</f>
        <v>R$ 3.607,28</v>
      </c>
      <c r="K1623" t="str">
        <f>"R$ 2.169,04"</f>
        <v>R$ 2.169,04</v>
      </c>
    </row>
    <row r="1624" spans="1:11" x14ac:dyDescent="0.25">
      <c r="A1624" t="str">
        <f>"00027723 / 1"</f>
        <v>00027723 / 1</v>
      </c>
      <c r="B1624" t="str">
        <f>"Folha Mensal"</f>
        <v>Folha Mensal</v>
      </c>
      <c r="C1624" t="str">
        <f>"Neuza Maria Araujo"</f>
        <v>Neuza Maria Araujo</v>
      </c>
      <c r="D1624" t="str">
        <f>"PROFESSOR NIVEL I"</f>
        <v>PROFESSOR NIVEL I</v>
      </c>
      <c r="E1624" t="str">
        <f>"Efetivo-Inativo I- RJUSM"</f>
        <v>Efetivo-Inativo I- RJUSM</v>
      </c>
      <c r="F1624" t="str">
        <f>"R$ 4.621,06"</f>
        <v>R$ 4.621,06</v>
      </c>
      <c r="G1624" t="str">
        <f>"R$ 5.776,32"</f>
        <v>R$ 5.776,32</v>
      </c>
      <c r="H1624" t="str">
        <f t="shared" si="163"/>
        <v>R$ 0,00</v>
      </c>
      <c r="I1624" t="str">
        <f>"R$ 5.776,32"</f>
        <v>R$ 5.776,32</v>
      </c>
      <c r="J1624" t="str">
        <f>"R$ 2.226,74"</f>
        <v>R$ 2.226,74</v>
      </c>
      <c r="K1624" t="str">
        <f>"R$ 3.549,58"</f>
        <v>R$ 3.549,58</v>
      </c>
    </row>
    <row r="1625" spans="1:11" x14ac:dyDescent="0.25">
      <c r="A1625" t="str">
        <f>"03641937 / 1"</f>
        <v>03641937 / 1</v>
      </c>
      <c r="B1625" t="str">
        <f>"13° Salário Anual"</f>
        <v>13° Salário Anual</v>
      </c>
      <c r="C1625" t="str">
        <f>"Nicole Bittencourt dos Santos Hage"</f>
        <v>Nicole Bittencourt dos Santos Hage</v>
      </c>
      <c r="D1625" t="str">
        <f>"DAS 08"</f>
        <v>DAS 08</v>
      </c>
      <c r="E1625" t="str">
        <f>"Comissionado"</f>
        <v>Comissionado</v>
      </c>
      <c r="F1625" t="str">
        <f>"R$ 4.200,00"</f>
        <v>R$ 4.200,00</v>
      </c>
      <c r="G1625" t="str">
        <f>"R$ 1.050,00"</f>
        <v>R$ 1.050,00</v>
      </c>
      <c r="H1625" t="str">
        <f t="shared" si="163"/>
        <v>R$ 0,00</v>
      </c>
      <c r="I1625" t="str">
        <f>"R$ 1.050,00"</f>
        <v>R$ 1.050,00</v>
      </c>
      <c r="J1625" t="str">
        <f>"R$ 78,75"</f>
        <v>R$ 78,75</v>
      </c>
      <c r="K1625" t="str">
        <f>"R$ 971,25"</f>
        <v>R$ 971,25</v>
      </c>
    </row>
    <row r="1626" spans="1:11" x14ac:dyDescent="0.25">
      <c r="A1626" t="str">
        <f>"03641937 / 1"</f>
        <v>03641937 / 1</v>
      </c>
      <c r="B1626" t="str">
        <f>"Folha Mensal"</f>
        <v>Folha Mensal</v>
      </c>
      <c r="C1626" t="str">
        <f>"Nicole Bittencourt dos Santos Hage"</f>
        <v>Nicole Bittencourt dos Santos Hage</v>
      </c>
      <c r="D1626" t="str">
        <f>"DAS 08"</f>
        <v>DAS 08</v>
      </c>
      <c r="E1626" t="str">
        <f>"Comissionado"</f>
        <v>Comissionado</v>
      </c>
      <c r="F1626" t="str">
        <f>"R$ 4.200,00"</f>
        <v>R$ 4.200,00</v>
      </c>
      <c r="G1626" t="str">
        <f>"R$ 4.200,00"</f>
        <v>R$ 4.200,00</v>
      </c>
      <c r="H1626" t="str">
        <f t="shared" si="163"/>
        <v>R$ 0,00</v>
      </c>
      <c r="I1626" t="str">
        <f>"R$ 4.200,00"</f>
        <v>R$ 4.200,00</v>
      </c>
      <c r="J1626" t="str">
        <f>"R$ 649,30"</f>
        <v>R$ 649,30</v>
      </c>
      <c r="K1626" t="str">
        <f>"R$ 3.550,70"</f>
        <v>R$ 3.550,70</v>
      </c>
    </row>
    <row r="1627" spans="1:11" x14ac:dyDescent="0.25">
      <c r="A1627" t="str">
        <f>"00266132 / 2"</f>
        <v>00266132 / 2</v>
      </c>
      <c r="B1627" t="str">
        <f>"13° Salário Anual"</f>
        <v>13° Salário Anual</v>
      </c>
      <c r="C1627" t="str">
        <f>"Nilce da Silva Barreto"</f>
        <v>Nilce da Silva Barreto</v>
      </c>
      <c r="D1627" t="str">
        <f>"PROP INVALIDEZ"</f>
        <v>PROP INVALIDEZ</v>
      </c>
      <c r="E1627" t="str">
        <f>"Efetivo-Inativos II-RJUSM"</f>
        <v>Efetivo-Inativos II-RJUSM</v>
      </c>
      <c r="F1627" t="str">
        <f>"R$ 1.550,00"</f>
        <v>R$ 1.550,00</v>
      </c>
      <c r="G1627" t="str">
        <f>"R$ 1.550,00"</f>
        <v>R$ 1.550,00</v>
      </c>
      <c r="H1627" t="str">
        <f t="shared" si="163"/>
        <v>R$ 0,00</v>
      </c>
      <c r="I1627" t="str">
        <f>"R$ 1.550,00"</f>
        <v>R$ 1.550,00</v>
      </c>
      <c r="J1627" t="str">
        <f>"R$ 775,00"</f>
        <v>R$ 775,00</v>
      </c>
      <c r="K1627" t="str">
        <f>"R$ 775,00"</f>
        <v>R$ 775,00</v>
      </c>
    </row>
    <row r="1628" spans="1:11" x14ac:dyDescent="0.25">
      <c r="A1628" t="str">
        <f>"00266132 / 2"</f>
        <v>00266132 / 2</v>
      </c>
      <c r="B1628" t="str">
        <f>"Folha Mensal"</f>
        <v>Folha Mensal</v>
      </c>
      <c r="C1628" t="str">
        <f>"Nilce da Silva Barreto"</f>
        <v>Nilce da Silva Barreto</v>
      </c>
      <c r="D1628" t="str">
        <f>"PROP INVALIDEZ"</f>
        <v>PROP INVALIDEZ</v>
      </c>
      <c r="E1628" t="str">
        <f>"Efetivo-Inativos II-RJUSM"</f>
        <v>Efetivo-Inativos II-RJUSM</v>
      </c>
      <c r="F1628" t="str">
        <f>"R$ 1.550,00"</f>
        <v>R$ 1.550,00</v>
      </c>
      <c r="G1628" t="str">
        <f>"R$ 1.550,00"</f>
        <v>R$ 1.550,00</v>
      </c>
      <c r="H1628" t="str">
        <f t="shared" si="163"/>
        <v>R$ 0,00</v>
      </c>
      <c r="I1628" t="str">
        <f>"R$ 1.550,00"</f>
        <v>R$ 1.550,00</v>
      </c>
      <c r="J1628" t="str">
        <f>"R$ 378,35"</f>
        <v>R$ 378,35</v>
      </c>
      <c r="K1628" t="str">
        <f>"R$ 1.171,65"</f>
        <v>R$ 1.171,65</v>
      </c>
    </row>
    <row r="1629" spans="1:11" x14ac:dyDescent="0.25">
      <c r="A1629" t="str">
        <f>"00406052 / 1"</f>
        <v>00406052 / 1</v>
      </c>
      <c r="B1629" t="str">
        <f>"13° Salário Anual"</f>
        <v>13° Salário Anual</v>
      </c>
      <c r="C1629" t="str">
        <f>"Nilton de Souza Negrao"</f>
        <v>Nilton de Souza Negrao</v>
      </c>
      <c r="D1629" t="str">
        <f>"PENSIONISTA"</f>
        <v>PENSIONISTA</v>
      </c>
      <c r="E1629" t="str">
        <f>"Pensionista"</f>
        <v>Pensionista</v>
      </c>
      <c r="F1629" t="str">
        <f t="shared" ref="F1629:F1634" si="165">"R$ 1.100,00"</f>
        <v>R$ 1.100,00</v>
      </c>
      <c r="G1629" t="str">
        <f>"R$ 1.210,00"</f>
        <v>R$ 1.210,00</v>
      </c>
      <c r="H1629" t="str">
        <f t="shared" si="163"/>
        <v>R$ 0,00</v>
      </c>
      <c r="I1629" t="str">
        <f>"R$ 1.210,00"</f>
        <v>R$ 1.210,00</v>
      </c>
      <c r="J1629" t="str">
        <f>"R$ 605,00"</f>
        <v>R$ 605,00</v>
      </c>
      <c r="K1629" t="str">
        <f>"R$ 605,00"</f>
        <v>R$ 605,00</v>
      </c>
    </row>
    <row r="1630" spans="1:11" x14ac:dyDescent="0.25">
      <c r="A1630" t="str">
        <f>"00406052 / 1"</f>
        <v>00406052 / 1</v>
      </c>
      <c r="B1630" t="str">
        <f>"Folha Mensal"</f>
        <v>Folha Mensal</v>
      </c>
      <c r="C1630" t="str">
        <f>"Nilton de Souza Negrao"</f>
        <v>Nilton de Souza Negrao</v>
      </c>
      <c r="D1630" t="str">
        <f>"PENSIONISTA"</f>
        <v>PENSIONISTA</v>
      </c>
      <c r="E1630" t="str">
        <f>"Pensionista"</f>
        <v>Pensionista</v>
      </c>
      <c r="F1630" t="str">
        <f t="shared" si="165"/>
        <v>R$ 1.100,00</v>
      </c>
      <c r="G1630" t="str">
        <f>"R$ 1.210,00"</f>
        <v>R$ 1.210,00</v>
      </c>
      <c r="H1630" t="str">
        <f t="shared" si="163"/>
        <v>R$ 0,00</v>
      </c>
      <c r="I1630" t="str">
        <f>"R$ 1.210,00"</f>
        <v>R$ 1.210,00</v>
      </c>
      <c r="J1630" t="str">
        <f>"R$ 0,00"</f>
        <v>R$ 0,00</v>
      </c>
      <c r="K1630" t="str">
        <f>"R$ 1.210,00"</f>
        <v>R$ 1.210,00</v>
      </c>
    </row>
    <row r="1631" spans="1:11" x14ac:dyDescent="0.25">
      <c r="A1631" t="str">
        <f>"00001759 / 1"</f>
        <v>00001759 / 1</v>
      </c>
      <c r="B1631" t="str">
        <f>"13° Salário Anual"</f>
        <v>13° Salário Anual</v>
      </c>
      <c r="C1631" t="str">
        <f>"Nilza Maria de Oliveira Leal"</f>
        <v>Nilza Maria de Oliveira Leal</v>
      </c>
      <c r="D1631" t="str">
        <f>"INT TEMP CONTRIBUICAO"</f>
        <v>INT TEMP CONTRIBUICAO</v>
      </c>
      <c r="E1631" t="str">
        <f>"Efetivo-Inativo I- RJUSM"</f>
        <v>Efetivo-Inativo I- RJUSM</v>
      </c>
      <c r="F1631" t="str">
        <f t="shared" si="165"/>
        <v>R$ 1.100,00</v>
      </c>
      <c r="G1631" t="str">
        <f>"R$ 1.430,00"</f>
        <v>R$ 1.430,00</v>
      </c>
      <c r="H1631" t="str">
        <f t="shared" si="163"/>
        <v>R$ 0,00</v>
      </c>
      <c r="I1631" t="str">
        <f>"R$ 1.430,00"</f>
        <v>R$ 1.430,00</v>
      </c>
      <c r="J1631" t="str">
        <f>"R$ 715,00"</f>
        <v>R$ 715,00</v>
      </c>
      <c r="K1631" t="str">
        <f>"R$ 715,00"</f>
        <v>R$ 715,00</v>
      </c>
    </row>
    <row r="1632" spans="1:11" x14ac:dyDescent="0.25">
      <c r="A1632" t="str">
        <f>"00001759 / 1"</f>
        <v>00001759 / 1</v>
      </c>
      <c r="B1632" t="str">
        <f>"Folha Mensal"</f>
        <v>Folha Mensal</v>
      </c>
      <c r="C1632" t="str">
        <f>"Nilza Maria de Oliveira Leal"</f>
        <v>Nilza Maria de Oliveira Leal</v>
      </c>
      <c r="D1632" t="str">
        <f>"INT TEMP CONTRIBUICAO"</f>
        <v>INT TEMP CONTRIBUICAO</v>
      </c>
      <c r="E1632" t="str">
        <f>"Efetivo-Inativo I- RJUSM"</f>
        <v>Efetivo-Inativo I- RJUSM</v>
      </c>
      <c r="F1632" t="str">
        <f t="shared" si="165"/>
        <v>R$ 1.100,00</v>
      </c>
      <c r="G1632" t="str">
        <f>"R$ 1.430,00"</f>
        <v>R$ 1.430,00</v>
      </c>
      <c r="H1632" t="str">
        <f t="shared" ref="H1632:H1691" si="166">"R$ 0,00"</f>
        <v>R$ 0,00</v>
      </c>
      <c r="I1632" t="str">
        <f>"R$ 1.430,00"</f>
        <v>R$ 1.430,00</v>
      </c>
      <c r="J1632" t="str">
        <f>"R$ 0,00"</f>
        <v>R$ 0,00</v>
      </c>
      <c r="K1632" t="str">
        <f>"R$ 1.430,00"</f>
        <v>R$ 1.430,00</v>
      </c>
    </row>
    <row r="1633" spans="1:11" x14ac:dyDescent="0.25">
      <c r="A1633" t="str">
        <f>"00001910 / 2"</f>
        <v>00001910 / 2</v>
      </c>
      <c r="B1633" t="str">
        <f>"13° Salário Anual"</f>
        <v>13° Salário Anual</v>
      </c>
      <c r="C1633" t="str">
        <f>"Nilza Martins Nunes"</f>
        <v>Nilza Martins Nunes</v>
      </c>
      <c r="D1633" t="str">
        <f>"INT TEMP CONTRIBUICAO"</f>
        <v>INT TEMP CONTRIBUICAO</v>
      </c>
      <c r="E1633" t="str">
        <f>"Efetivo-Inativos II-RJUSM"</f>
        <v>Efetivo-Inativos II-RJUSM</v>
      </c>
      <c r="F1633" t="str">
        <f t="shared" si="165"/>
        <v>R$ 1.100,00</v>
      </c>
      <c r="G1633" t="str">
        <f>"R$ 1.430,00"</f>
        <v>R$ 1.430,00</v>
      </c>
      <c r="H1633" t="str">
        <f t="shared" si="166"/>
        <v>R$ 0,00</v>
      </c>
      <c r="I1633" t="str">
        <f>"R$ 1.430,00"</f>
        <v>R$ 1.430,00</v>
      </c>
      <c r="J1633" t="str">
        <f>"R$ 715,00"</f>
        <v>R$ 715,00</v>
      </c>
      <c r="K1633" t="str">
        <f>"R$ 715,00"</f>
        <v>R$ 715,00</v>
      </c>
    </row>
    <row r="1634" spans="1:11" x14ac:dyDescent="0.25">
      <c r="A1634" t="str">
        <f>"00001910 / 2"</f>
        <v>00001910 / 2</v>
      </c>
      <c r="B1634" t="str">
        <f>"Folha Mensal"</f>
        <v>Folha Mensal</v>
      </c>
      <c r="C1634" t="str">
        <f>"Nilza Martins Nunes"</f>
        <v>Nilza Martins Nunes</v>
      </c>
      <c r="D1634" t="str">
        <f>"INT TEMP CONTRIBUICAO"</f>
        <v>INT TEMP CONTRIBUICAO</v>
      </c>
      <c r="E1634" t="str">
        <f>"Efetivo-Inativos II-RJUSM"</f>
        <v>Efetivo-Inativos II-RJUSM</v>
      </c>
      <c r="F1634" t="str">
        <f t="shared" si="165"/>
        <v>R$ 1.100,00</v>
      </c>
      <c r="G1634" t="str">
        <f>"R$ 1.430,00"</f>
        <v>R$ 1.430,00</v>
      </c>
      <c r="H1634" t="str">
        <f t="shared" si="166"/>
        <v>R$ 0,00</v>
      </c>
      <c r="I1634" t="str">
        <f>"R$ 1.430,00"</f>
        <v>R$ 1.430,00</v>
      </c>
      <c r="J1634" t="str">
        <f>"R$ 498,43"</f>
        <v>R$ 498,43</v>
      </c>
      <c r="K1634" t="str">
        <f>"R$ 931,57"</f>
        <v>R$ 931,57</v>
      </c>
    </row>
    <row r="1635" spans="1:11" x14ac:dyDescent="0.25">
      <c r="A1635" t="str">
        <f>"00014753 / 1"</f>
        <v>00014753 / 1</v>
      </c>
      <c r="B1635" t="str">
        <f>"13° Salário Anual"</f>
        <v>13° Salário Anual</v>
      </c>
      <c r="C1635" t="str">
        <f>"Nilza Souza Lima"</f>
        <v>Nilza Souza Lima</v>
      </c>
      <c r="D1635" t="str">
        <f>"INATIVOS II"</f>
        <v>INATIVOS II</v>
      </c>
      <c r="E1635" t="str">
        <f>"Efetivo-Inativo I- RJUSM"</f>
        <v>Efetivo-Inativo I- RJUSM</v>
      </c>
      <c r="F1635" t="str">
        <f>"R$ 1.313,12"</f>
        <v>R$ 1.313,12</v>
      </c>
      <c r="G1635" t="str">
        <f>"R$ 1.313,12"</f>
        <v>R$ 1.313,12</v>
      </c>
      <c r="H1635" t="str">
        <f t="shared" si="166"/>
        <v>R$ 0,00</v>
      </c>
      <c r="I1635" t="str">
        <f>"R$ 1.313,12"</f>
        <v>R$ 1.313,12</v>
      </c>
      <c r="J1635" t="str">
        <f>"R$ 656,56"</f>
        <v>R$ 656,56</v>
      </c>
      <c r="K1635" t="str">
        <f>"R$ 656,56"</f>
        <v>R$ 656,56</v>
      </c>
    </row>
    <row r="1636" spans="1:11" x14ac:dyDescent="0.25">
      <c r="A1636" t="str">
        <f>"00014753 / 1"</f>
        <v>00014753 / 1</v>
      </c>
      <c r="B1636" t="str">
        <f>"Folha Mensal"</f>
        <v>Folha Mensal</v>
      </c>
      <c r="C1636" t="str">
        <f>"Nilza Souza Lima"</f>
        <v>Nilza Souza Lima</v>
      </c>
      <c r="D1636" t="str">
        <f>"INATIVOS II"</f>
        <v>INATIVOS II</v>
      </c>
      <c r="E1636" t="str">
        <f>"Efetivo-Inativo I- RJUSM"</f>
        <v>Efetivo-Inativo I- RJUSM</v>
      </c>
      <c r="F1636" t="str">
        <f>"R$ 1.313,12"</f>
        <v>R$ 1.313,12</v>
      </c>
      <c r="G1636" t="str">
        <f>"R$ 1.313,12"</f>
        <v>R$ 1.313,12</v>
      </c>
      <c r="H1636" t="str">
        <f t="shared" si="166"/>
        <v>R$ 0,00</v>
      </c>
      <c r="I1636" t="str">
        <f>"R$ 1.313,12"</f>
        <v>R$ 1.313,12</v>
      </c>
      <c r="J1636" t="str">
        <f>"R$ 364,00"</f>
        <v>R$ 364,00</v>
      </c>
      <c r="K1636" t="str">
        <f>"R$ 949,12"</f>
        <v>R$ 949,12</v>
      </c>
    </row>
    <row r="1637" spans="1:11" x14ac:dyDescent="0.25">
      <c r="A1637" t="str">
        <f>"03640302 / 2"</f>
        <v>03640302 / 2</v>
      </c>
      <c r="B1637" t="str">
        <f>"13° Salário Anual"</f>
        <v>13° Salário Anual</v>
      </c>
      <c r="C1637" t="str">
        <f>"Nilza Waldeneida de Lima Magalhaes de Araujo"</f>
        <v>Nilza Waldeneida de Lima Magalhaes de Araujo</v>
      </c>
      <c r="D1637" t="str">
        <f>"PROFESSOR NIVEL III"</f>
        <v>PROFESSOR NIVEL III</v>
      </c>
      <c r="E1637" t="str">
        <f>"Efetivo-Inativos II-RJUSM"</f>
        <v>Efetivo-Inativos II-RJUSM</v>
      </c>
      <c r="F1637" t="str">
        <f>"R$ 4.541,38"</f>
        <v>R$ 4.541,38</v>
      </c>
      <c r="G1637" t="str">
        <f>"R$ 5.676,72"</f>
        <v>R$ 5.676,72</v>
      </c>
      <c r="H1637" t="str">
        <f t="shared" si="166"/>
        <v>R$ 0,00</v>
      </c>
      <c r="I1637" t="str">
        <f>"R$ 5.676,72"</f>
        <v>R$ 5.676,72</v>
      </c>
      <c r="J1637" t="str">
        <f>"R$ 3.530,09"</f>
        <v>R$ 3.530,09</v>
      </c>
      <c r="K1637" t="str">
        <f>"R$ 2.146,63"</f>
        <v>R$ 2.146,63</v>
      </c>
    </row>
    <row r="1638" spans="1:11" x14ac:dyDescent="0.25">
      <c r="A1638" t="str">
        <f>"03640302 / 2"</f>
        <v>03640302 / 2</v>
      </c>
      <c r="B1638" t="str">
        <f>"Folha Mensal"</f>
        <v>Folha Mensal</v>
      </c>
      <c r="C1638" t="str">
        <f>"Nilza Waldeneida de Lima Magalhaes de Araujo"</f>
        <v>Nilza Waldeneida de Lima Magalhaes de Araujo</v>
      </c>
      <c r="D1638" t="str">
        <f>"PROFESSOR NIVEL III"</f>
        <v>PROFESSOR NIVEL III</v>
      </c>
      <c r="E1638" t="str">
        <f>"Efetivo-Inativos II-RJUSM"</f>
        <v>Efetivo-Inativos II-RJUSM</v>
      </c>
      <c r="F1638" t="str">
        <f>"R$ 4.541,38"</f>
        <v>R$ 4.541,38</v>
      </c>
      <c r="G1638" t="str">
        <f>"R$ 5.676,72"</f>
        <v>R$ 5.676,72</v>
      </c>
      <c r="H1638" t="str">
        <f t="shared" si="166"/>
        <v>R$ 0,00</v>
      </c>
      <c r="I1638" t="str">
        <f>"R$ 5.676,72"</f>
        <v>R$ 5.676,72</v>
      </c>
      <c r="J1638" t="str">
        <f>"R$ 2.185,37"</f>
        <v>R$ 2.185,37</v>
      </c>
      <c r="K1638" t="str">
        <f>"R$ 3.491,35"</f>
        <v>R$ 3.491,35</v>
      </c>
    </row>
    <row r="1639" spans="1:11" x14ac:dyDescent="0.25">
      <c r="A1639" t="str">
        <f>"00001805 / 1"</f>
        <v>00001805 / 1</v>
      </c>
      <c r="B1639" t="str">
        <f>"13° Salário Anual"</f>
        <v>13° Salário Anual</v>
      </c>
      <c r="C1639" t="str">
        <f>"Noeme Ferreira da Silva"</f>
        <v>Noeme Ferreira da Silva</v>
      </c>
      <c r="D1639" t="str">
        <f>"PROFESSOR"</f>
        <v>PROFESSOR</v>
      </c>
      <c r="E1639" t="str">
        <f>"Efetivo-Inativo I- RJUSM"</f>
        <v>Efetivo-Inativo I- RJUSM</v>
      </c>
      <c r="F1639" t="str">
        <f>"R$ 3.186,94"</f>
        <v>R$ 3.186,94</v>
      </c>
      <c r="G1639" t="str">
        <f>"R$ 3.983,67"</f>
        <v>R$ 3.983,67</v>
      </c>
      <c r="H1639" t="str">
        <f t="shared" si="166"/>
        <v>R$ 0,00</v>
      </c>
      <c r="I1639" t="str">
        <f>"R$ 3.983,67"</f>
        <v>R$ 3.983,67</v>
      </c>
      <c r="J1639" t="str">
        <f>"R$ 2.209,36"</f>
        <v>R$ 2.209,36</v>
      </c>
      <c r="K1639" t="str">
        <f>"R$ 1.774,31"</f>
        <v>R$ 1.774,31</v>
      </c>
    </row>
    <row r="1640" spans="1:11" x14ac:dyDescent="0.25">
      <c r="A1640" t="str">
        <f>"00001805 / 1"</f>
        <v>00001805 / 1</v>
      </c>
      <c r="B1640" t="str">
        <f>"Folha Mensal"</f>
        <v>Folha Mensal</v>
      </c>
      <c r="C1640" t="str">
        <f>"Noeme Ferreira da Silva"</f>
        <v>Noeme Ferreira da Silva</v>
      </c>
      <c r="D1640" t="str">
        <f>"PROFESSOR"</f>
        <v>PROFESSOR</v>
      </c>
      <c r="E1640" t="str">
        <f>"Efetivo-Inativo I- RJUSM"</f>
        <v>Efetivo-Inativo I- RJUSM</v>
      </c>
      <c r="F1640" t="str">
        <f>"R$ 3.186,94"</f>
        <v>R$ 3.186,94</v>
      </c>
      <c r="G1640" t="str">
        <f>"R$ 3.983,67"</f>
        <v>R$ 3.983,67</v>
      </c>
      <c r="H1640" t="str">
        <f t="shared" si="166"/>
        <v>R$ 0,00</v>
      </c>
      <c r="I1640" t="str">
        <f>"R$ 3.983,67"</f>
        <v>R$ 3.983,67</v>
      </c>
      <c r="J1640" t="str">
        <f>"R$ 1.720,04"</f>
        <v>R$ 1.720,04</v>
      </c>
      <c r="K1640" t="str">
        <f>"R$ 2.263,63"</f>
        <v>R$ 2.263,63</v>
      </c>
    </row>
    <row r="1641" spans="1:11" x14ac:dyDescent="0.25">
      <c r="A1641" t="str">
        <f>"00024546 / 2"</f>
        <v>00024546 / 2</v>
      </c>
      <c r="B1641" t="str">
        <f>"13° Salário Anual"</f>
        <v>13° Salário Anual</v>
      </c>
      <c r="C1641" t="str">
        <f>"Noemi Moraes Soares"</f>
        <v>Noemi Moraes Soares</v>
      </c>
      <c r="D1641" t="str">
        <f>"PENSIONISTA"</f>
        <v>PENSIONISTA</v>
      </c>
      <c r="E1641" t="str">
        <f>"Pensionista"</f>
        <v>Pensionista</v>
      </c>
      <c r="F1641" t="str">
        <f>"R$ 1.100,00"</f>
        <v>R$ 1.100,00</v>
      </c>
      <c r="G1641" t="str">
        <f>"R$ 1.265,00"</f>
        <v>R$ 1.265,00</v>
      </c>
      <c r="H1641" t="str">
        <f t="shared" si="166"/>
        <v>R$ 0,00</v>
      </c>
      <c r="I1641" t="str">
        <f>"R$ 1.265,00"</f>
        <v>R$ 1.265,00</v>
      </c>
      <c r="J1641" t="str">
        <f>"R$ 632,50"</f>
        <v>R$ 632,50</v>
      </c>
      <c r="K1641" t="str">
        <f>"R$ 632,50"</f>
        <v>R$ 632,50</v>
      </c>
    </row>
    <row r="1642" spans="1:11" x14ac:dyDescent="0.25">
      <c r="A1642" t="str">
        <f>"00024546 / 2"</f>
        <v>00024546 / 2</v>
      </c>
      <c r="B1642" t="str">
        <f>"Folha Mensal"</f>
        <v>Folha Mensal</v>
      </c>
      <c r="C1642" t="str">
        <f>"Noemi Moraes Soares"</f>
        <v>Noemi Moraes Soares</v>
      </c>
      <c r="D1642" t="str">
        <f>"PENSIONISTA"</f>
        <v>PENSIONISTA</v>
      </c>
      <c r="E1642" t="str">
        <f>"Pensionista"</f>
        <v>Pensionista</v>
      </c>
      <c r="F1642" t="str">
        <f>"R$ 1.100,00"</f>
        <v>R$ 1.100,00</v>
      </c>
      <c r="G1642" t="str">
        <f>"R$ 1.265,00"</f>
        <v>R$ 1.265,00</v>
      </c>
      <c r="H1642" t="str">
        <f t="shared" si="166"/>
        <v>R$ 0,00</v>
      </c>
      <c r="I1642" t="str">
        <f>"R$ 1.265,00"</f>
        <v>R$ 1.265,00</v>
      </c>
      <c r="J1642" t="str">
        <f>"R$ 0,00"</f>
        <v>R$ 0,00</v>
      </c>
      <c r="K1642" t="str">
        <f>"R$ 1.265,00"</f>
        <v>R$ 1.265,00</v>
      </c>
    </row>
    <row r="1643" spans="1:11" x14ac:dyDescent="0.25">
      <c r="A1643" t="str">
        <f>"00024546 / 1"</f>
        <v>00024546 / 1</v>
      </c>
      <c r="B1643" t="str">
        <f>"13° Salário Anual"</f>
        <v>13° Salário Anual</v>
      </c>
      <c r="C1643" t="str">
        <f>"Noemi Moraes Soares"</f>
        <v>Noemi Moraes Soares</v>
      </c>
      <c r="D1643" t="str">
        <f>"PROFESSOR"</f>
        <v>PROFESSOR</v>
      </c>
      <c r="E1643" t="str">
        <f>"Efetivo-Inativo I- RJUSM"</f>
        <v>Efetivo-Inativo I- RJUSM</v>
      </c>
      <c r="F1643" t="str">
        <f>"R$ 1.593,46"</f>
        <v>R$ 1.593,46</v>
      </c>
      <c r="G1643" t="str">
        <f>"R$ 1.991,82"</f>
        <v>R$ 1.991,82</v>
      </c>
      <c r="H1643" t="str">
        <f t="shared" si="166"/>
        <v>R$ 0,00</v>
      </c>
      <c r="I1643" t="str">
        <f>"R$ 1.991,82"</f>
        <v>R$ 1.991,82</v>
      </c>
      <c r="J1643" t="str">
        <f>"R$ 995,91"</f>
        <v>R$ 995,91</v>
      </c>
      <c r="K1643" t="str">
        <f>"R$ 995,91"</f>
        <v>R$ 995,91</v>
      </c>
    </row>
    <row r="1644" spans="1:11" x14ac:dyDescent="0.25">
      <c r="A1644" t="str">
        <f>"00024546 / 1"</f>
        <v>00024546 / 1</v>
      </c>
      <c r="B1644" t="str">
        <f>"Folha Mensal"</f>
        <v>Folha Mensal</v>
      </c>
      <c r="C1644" t="str">
        <f>"Noemi Moraes Soares"</f>
        <v>Noemi Moraes Soares</v>
      </c>
      <c r="D1644" t="str">
        <f>"PROFESSOR"</f>
        <v>PROFESSOR</v>
      </c>
      <c r="E1644" t="str">
        <f>"Efetivo-Inativo I- RJUSM"</f>
        <v>Efetivo-Inativo I- RJUSM</v>
      </c>
      <c r="F1644" t="str">
        <f>"R$ 1.593,46"</f>
        <v>R$ 1.593,46</v>
      </c>
      <c r="G1644" t="str">
        <f>"R$ 1.991,82"</f>
        <v>R$ 1.991,82</v>
      </c>
      <c r="H1644" t="str">
        <f t="shared" si="166"/>
        <v>R$ 0,00</v>
      </c>
      <c r="I1644" t="str">
        <f>"R$ 1.991,82"</f>
        <v>R$ 1.991,82</v>
      </c>
      <c r="J1644" t="str">
        <f>"R$ 0,00"</f>
        <v>R$ 0,00</v>
      </c>
      <c r="K1644" t="str">
        <f>"R$ 1.991,82"</f>
        <v>R$ 1.991,82</v>
      </c>
    </row>
    <row r="1645" spans="1:11" x14ac:dyDescent="0.25">
      <c r="A1645" t="str">
        <f>"00025623 / 1"</f>
        <v>00025623 / 1</v>
      </c>
      <c r="B1645" t="str">
        <f>"13° Salário Anual"</f>
        <v>13° Salário Anual</v>
      </c>
      <c r="C1645" t="str">
        <f>"Noemia Azevedo Barata"</f>
        <v>Noemia Azevedo Barata</v>
      </c>
      <c r="D1645" t="str">
        <f>"PROP IDADE"</f>
        <v>PROP IDADE</v>
      </c>
      <c r="E1645" t="str">
        <f>"Efetivo-Inativo I- RJUSM"</f>
        <v>Efetivo-Inativo I- RJUSM</v>
      </c>
      <c r="F1645" t="str">
        <f>"R$ 1.100,00"</f>
        <v>R$ 1.100,00</v>
      </c>
      <c r="G1645" t="str">
        <f>"R$ 1.100,00"</f>
        <v>R$ 1.100,00</v>
      </c>
      <c r="H1645" t="str">
        <f t="shared" si="166"/>
        <v>R$ 0,00</v>
      </c>
      <c r="I1645" t="str">
        <f>"R$ 1.100,00"</f>
        <v>R$ 1.100,00</v>
      </c>
      <c r="J1645" t="str">
        <f>"R$ 550,00"</f>
        <v>R$ 550,00</v>
      </c>
      <c r="K1645" t="str">
        <f>"R$ 550,00"</f>
        <v>R$ 550,00</v>
      </c>
    </row>
    <row r="1646" spans="1:11" x14ac:dyDescent="0.25">
      <c r="A1646" t="str">
        <f>"00025623 / 1"</f>
        <v>00025623 / 1</v>
      </c>
      <c r="B1646" t="str">
        <f>"Folha Mensal"</f>
        <v>Folha Mensal</v>
      </c>
      <c r="C1646" t="str">
        <f>"Noemia Azevedo Barata"</f>
        <v>Noemia Azevedo Barata</v>
      </c>
      <c r="D1646" t="str">
        <f>"PROP IDADE"</f>
        <v>PROP IDADE</v>
      </c>
      <c r="E1646" t="str">
        <f>"Efetivo-Inativo I- RJUSM"</f>
        <v>Efetivo-Inativo I- RJUSM</v>
      </c>
      <c r="F1646" t="str">
        <f>"R$ 1.100,00"</f>
        <v>R$ 1.100,00</v>
      </c>
      <c r="G1646" t="str">
        <f>"R$ 1.100,00"</f>
        <v>R$ 1.100,00</v>
      </c>
      <c r="H1646" t="str">
        <f t="shared" si="166"/>
        <v>R$ 0,00</v>
      </c>
      <c r="I1646" t="str">
        <f>"R$ 1.100,00"</f>
        <v>R$ 1.100,00</v>
      </c>
      <c r="J1646" t="str">
        <f>"R$ 169,74"</f>
        <v>R$ 169,74</v>
      </c>
      <c r="K1646" t="str">
        <f>"R$ 930,26"</f>
        <v>R$ 930,26</v>
      </c>
    </row>
    <row r="1647" spans="1:11" x14ac:dyDescent="0.25">
      <c r="A1647" t="str">
        <f>"03641473 / 1"</f>
        <v>03641473 / 1</v>
      </c>
      <c r="B1647" t="str">
        <f>"13° Salário Anual"</f>
        <v>13° Salário Anual</v>
      </c>
      <c r="C1647" t="str">
        <f>"Norma Cristina Oliveira Silva"</f>
        <v>Norma Cristina Oliveira Silva</v>
      </c>
      <c r="D1647" t="str">
        <f>"INATIVOS II"</f>
        <v>INATIVOS II</v>
      </c>
      <c r="E1647" t="str">
        <f>"Efetivo-Inativos II-RJUSM"</f>
        <v>Efetivo-Inativos II-RJUSM</v>
      </c>
      <c r="F1647" t="str">
        <f>"R$ 2.940,71"</f>
        <v>R$ 2.940,71</v>
      </c>
      <c r="G1647" t="str">
        <f>"R$ 1.654,14"</f>
        <v>R$ 1.654,14</v>
      </c>
      <c r="H1647" t="str">
        <f t="shared" si="166"/>
        <v>R$ 0,00</v>
      </c>
      <c r="I1647" t="str">
        <f>"R$ 1.654,14"</f>
        <v>R$ 1.654,14</v>
      </c>
      <c r="J1647" t="str">
        <f>"R$ 827,07"</f>
        <v>R$ 827,07</v>
      </c>
      <c r="K1647" t="str">
        <f>"R$ 827,07"</f>
        <v>R$ 827,07</v>
      </c>
    </row>
    <row r="1648" spans="1:11" x14ac:dyDescent="0.25">
      <c r="A1648" t="str">
        <f>"03641473 / 1"</f>
        <v>03641473 / 1</v>
      </c>
      <c r="B1648" t="str">
        <f>"Folha Mensal"</f>
        <v>Folha Mensal</v>
      </c>
      <c r="C1648" t="str">
        <f>"Norma Cristina Oliveira Silva"</f>
        <v>Norma Cristina Oliveira Silva</v>
      </c>
      <c r="D1648" t="str">
        <f>"INATIVOS II"</f>
        <v>INATIVOS II</v>
      </c>
      <c r="E1648" t="str">
        <f>"Efetivo-Inativos II-RJUSM"</f>
        <v>Efetivo-Inativos II-RJUSM</v>
      </c>
      <c r="F1648" t="str">
        <f>"R$ 2.940,71"</f>
        <v>R$ 2.940,71</v>
      </c>
      <c r="G1648" t="str">
        <f>"R$ 3.969,95"</f>
        <v>R$ 3.969,95</v>
      </c>
      <c r="H1648" t="str">
        <f t="shared" si="166"/>
        <v>R$ 0,00</v>
      </c>
      <c r="I1648" t="str">
        <f>"R$ 3.969,95"</f>
        <v>R$ 3.969,95</v>
      </c>
      <c r="J1648" t="str">
        <f>"R$ 257,10"</f>
        <v>R$ 257,10</v>
      </c>
      <c r="K1648" t="str">
        <f>"R$ 3.712,85"</f>
        <v>R$ 3.712,85</v>
      </c>
    </row>
    <row r="1649" spans="1:11" x14ac:dyDescent="0.25">
      <c r="A1649" t="str">
        <f>"00028363 / 1"</f>
        <v>00028363 / 1</v>
      </c>
      <c r="B1649" t="str">
        <f>"13° Salário Anual"</f>
        <v>13° Salário Anual</v>
      </c>
      <c r="C1649" t="str">
        <f>"Obiranei da Silva Moraes"</f>
        <v>Obiranei da Silva Moraes</v>
      </c>
      <c r="D1649" t="str">
        <f>"PROFESSOR NIVEL II"</f>
        <v>PROFESSOR NIVEL II</v>
      </c>
      <c r="E1649" t="str">
        <f>"Efetivo-Inativos II-RJUSM"</f>
        <v>Efetivo-Inativos II-RJUSM</v>
      </c>
      <c r="F1649" t="str">
        <f>"R$ 2.868,22"</f>
        <v>R$ 2.868,22</v>
      </c>
      <c r="G1649" t="str">
        <f>"R$ 3.728,68"</f>
        <v>R$ 3.728,68</v>
      </c>
      <c r="H1649" t="str">
        <f t="shared" si="166"/>
        <v>R$ 0,00</v>
      </c>
      <c r="I1649" t="str">
        <f>"R$ 3.728,68"</f>
        <v>R$ 3.728,68</v>
      </c>
      <c r="J1649" t="str">
        <f>"R$ 2.068,84"</f>
        <v>R$ 2.068,84</v>
      </c>
      <c r="K1649" t="str">
        <f>"R$ 1.659,84"</f>
        <v>R$ 1.659,84</v>
      </c>
    </row>
    <row r="1650" spans="1:11" x14ac:dyDescent="0.25">
      <c r="A1650" t="str">
        <f>"00028363 / 1"</f>
        <v>00028363 / 1</v>
      </c>
      <c r="B1650" t="str">
        <f>"Folha Mensal"</f>
        <v>Folha Mensal</v>
      </c>
      <c r="C1650" t="str">
        <f>"Obiranei da Silva Moraes"</f>
        <v>Obiranei da Silva Moraes</v>
      </c>
      <c r="D1650" t="str">
        <f>"PROFESSOR NIVEL II"</f>
        <v>PROFESSOR NIVEL II</v>
      </c>
      <c r="E1650" t="str">
        <f>"Efetivo-Inativos II-RJUSM"</f>
        <v>Efetivo-Inativos II-RJUSM</v>
      </c>
      <c r="F1650" t="str">
        <f>"R$ 2.868,22"</f>
        <v>R$ 2.868,22</v>
      </c>
      <c r="G1650" t="str">
        <f>"R$ 3.728,68"</f>
        <v>R$ 3.728,68</v>
      </c>
      <c r="H1650" t="str">
        <f t="shared" si="166"/>
        <v>R$ 0,00</v>
      </c>
      <c r="I1650" t="str">
        <f>"R$ 3.728,68"</f>
        <v>R$ 3.728,68</v>
      </c>
      <c r="J1650" t="str">
        <f>"R$ 1.157,72"</f>
        <v>R$ 1.157,72</v>
      </c>
      <c r="K1650" t="str">
        <f>"R$ 2.570,96"</f>
        <v>R$ 2.570,96</v>
      </c>
    </row>
    <row r="1651" spans="1:11" x14ac:dyDescent="0.25">
      <c r="A1651" t="str">
        <f>"00010685 / 2"</f>
        <v>00010685 / 2</v>
      </c>
      <c r="B1651" t="str">
        <f>"13° Salário Anual"</f>
        <v>13° Salário Anual</v>
      </c>
      <c r="C1651" t="str">
        <f>"Ocineia Silva Santos"</f>
        <v>Ocineia Silva Santos</v>
      </c>
      <c r="D1651" t="str">
        <f>"PROP INVALIDEZ"</f>
        <v>PROP INVALIDEZ</v>
      </c>
      <c r="E1651" t="str">
        <f>"Efetivo-Inativo I- RJUSM"</f>
        <v>Efetivo-Inativo I- RJUSM</v>
      </c>
      <c r="F1651" t="str">
        <f>"R$ 1.013,73"</f>
        <v>R$ 1.013,73</v>
      </c>
      <c r="G1651" t="str">
        <f>"R$ 1.100,00"</f>
        <v>R$ 1.100,00</v>
      </c>
      <c r="H1651" t="str">
        <f t="shared" si="166"/>
        <v>R$ 0,00</v>
      </c>
      <c r="I1651" t="str">
        <f>"R$ 1.100,00"</f>
        <v>R$ 1.100,00</v>
      </c>
      <c r="J1651" t="str">
        <f>"R$ 550,00"</f>
        <v>R$ 550,00</v>
      </c>
      <c r="K1651" t="str">
        <f>"R$ 550,00"</f>
        <v>R$ 550,00</v>
      </c>
    </row>
    <row r="1652" spans="1:11" x14ac:dyDescent="0.25">
      <c r="A1652" t="str">
        <f>"00010685 / 2"</f>
        <v>00010685 / 2</v>
      </c>
      <c r="B1652" t="str">
        <f>"Folha Mensal"</f>
        <v>Folha Mensal</v>
      </c>
      <c r="C1652" t="str">
        <f>"Ocineia Silva Santos"</f>
        <v>Ocineia Silva Santos</v>
      </c>
      <c r="D1652" t="str">
        <f>"PROP INVALIDEZ"</f>
        <v>PROP INVALIDEZ</v>
      </c>
      <c r="E1652" t="str">
        <f>"Efetivo-Inativo I- RJUSM"</f>
        <v>Efetivo-Inativo I- RJUSM</v>
      </c>
      <c r="F1652" t="str">
        <f>"R$ 1.013,73"</f>
        <v>R$ 1.013,73</v>
      </c>
      <c r="G1652" t="str">
        <f>"R$ 1.100,00"</f>
        <v>R$ 1.100,00</v>
      </c>
      <c r="H1652" t="str">
        <f t="shared" si="166"/>
        <v>R$ 0,00</v>
      </c>
      <c r="I1652" t="str">
        <f>"R$ 1.100,00"</f>
        <v>R$ 1.100,00</v>
      </c>
      <c r="J1652" t="str">
        <f>"R$ 313,46"</f>
        <v>R$ 313,46</v>
      </c>
      <c r="K1652" t="str">
        <f>"R$ 786,54"</f>
        <v>R$ 786,54</v>
      </c>
    </row>
    <row r="1653" spans="1:11" x14ac:dyDescent="0.25">
      <c r="A1653" t="str">
        <f>"00024554 / 1"</f>
        <v>00024554 / 1</v>
      </c>
      <c r="B1653" t="str">
        <f>"13° Salário Anual"</f>
        <v>13° Salário Anual</v>
      </c>
      <c r="C1653" t="str">
        <f>"Odaisa Helena do Carmo Lopes"</f>
        <v>Odaisa Helena do Carmo Lopes</v>
      </c>
      <c r="D1653" t="str">
        <f>"PROFESSOR NIVEL II"</f>
        <v>PROFESSOR NIVEL II</v>
      </c>
      <c r="E1653" t="str">
        <f t="shared" ref="E1653:E1658" si="167">"Efetivo-Inativos II-RJUSM"</f>
        <v>Efetivo-Inativos II-RJUSM</v>
      </c>
      <c r="F1653" t="str">
        <f t="shared" ref="F1653:F1658" si="168">"R$ 5.736,47"</f>
        <v>R$ 5.736,47</v>
      </c>
      <c r="G1653" t="str">
        <f>"R$ 7.457,41"</f>
        <v>R$ 7.457,41</v>
      </c>
      <c r="H1653" t="str">
        <f t="shared" si="166"/>
        <v>R$ 0,00</v>
      </c>
      <c r="I1653" t="str">
        <f>"R$ 7.457,41"</f>
        <v>R$ 7.457,41</v>
      </c>
      <c r="J1653" t="str">
        <f>"R$ 5.047,79"</f>
        <v>R$ 5.047,79</v>
      </c>
      <c r="K1653" t="str">
        <f>"R$ 2.409,62"</f>
        <v>R$ 2.409,62</v>
      </c>
    </row>
    <row r="1654" spans="1:11" x14ac:dyDescent="0.25">
      <c r="A1654" t="str">
        <f>"00024554 / 1"</f>
        <v>00024554 / 1</v>
      </c>
      <c r="B1654" t="str">
        <f>"Folha Mensal"</f>
        <v>Folha Mensal</v>
      </c>
      <c r="C1654" t="str">
        <f>"Odaisa Helena do Carmo Lopes"</f>
        <v>Odaisa Helena do Carmo Lopes</v>
      </c>
      <c r="D1654" t="str">
        <f>"PROFESSOR NIVEL II"</f>
        <v>PROFESSOR NIVEL II</v>
      </c>
      <c r="E1654" t="str">
        <f t="shared" si="167"/>
        <v>Efetivo-Inativos II-RJUSM</v>
      </c>
      <c r="F1654" t="str">
        <f t="shared" si="168"/>
        <v>R$ 5.736,47</v>
      </c>
      <c r="G1654" t="str">
        <f>"R$ 7.457,41"</f>
        <v>R$ 7.457,41</v>
      </c>
      <c r="H1654" t="str">
        <f t="shared" si="166"/>
        <v>R$ 0,00</v>
      </c>
      <c r="I1654" t="str">
        <f>"R$ 7.457,41"</f>
        <v>R$ 7.457,41</v>
      </c>
      <c r="J1654" t="str">
        <f>"R$ 3.152,70"</f>
        <v>R$ 3.152,70</v>
      </c>
      <c r="K1654" t="str">
        <f>"R$ 4.304,71"</f>
        <v>R$ 4.304,71</v>
      </c>
    </row>
    <row r="1655" spans="1:11" x14ac:dyDescent="0.25">
      <c r="A1655" t="str">
        <f>"03640299 / 1"</f>
        <v>03640299 / 1</v>
      </c>
      <c r="B1655" t="str">
        <f>"13° Salário Anual"</f>
        <v>13° Salário Anual</v>
      </c>
      <c r="C1655" t="str">
        <f>"Odilia Maria Moreira Henriques"</f>
        <v>Odilia Maria Moreira Henriques</v>
      </c>
      <c r="D1655" t="str">
        <f>"PROFESSOR NIVEL III"</f>
        <v>PROFESSOR NIVEL III</v>
      </c>
      <c r="E1655" t="str">
        <f t="shared" si="167"/>
        <v>Efetivo-Inativos II-RJUSM</v>
      </c>
      <c r="F1655" t="str">
        <f t="shared" si="168"/>
        <v>R$ 5.736,47</v>
      </c>
      <c r="G1655" t="str">
        <f>"R$ 11.472,93"</f>
        <v>R$ 11.472,93</v>
      </c>
      <c r="H1655" t="str">
        <f t="shared" si="166"/>
        <v>R$ 0,00</v>
      </c>
      <c r="I1655" t="str">
        <f>"R$ 11.472,93"</f>
        <v>R$ 11.472,93</v>
      </c>
      <c r="J1655" t="str">
        <f>"R$ 8.567,39"</f>
        <v>R$ 8.567,39</v>
      </c>
      <c r="K1655" t="str">
        <f>"R$ 2.905,54"</f>
        <v>R$ 2.905,54</v>
      </c>
    </row>
    <row r="1656" spans="1:11" x14ac:dyDescent="0.25">
      <c r="A1656" t="str">
        <f>"03640299 / 1"</f>
        <v>03640299 / 1</v>
      </c>
      <c r="B1656" t="str">
        <f>"Folha Mensal"</f>
        <v>Folha Mensal</v>
      </c>
      <c r="C1656" t="str">
        <f>"Odilia Maria Moreira Henriques"</f>
        <v>Odilia Maria Moreira Henriques</v>
      </c>
      <c r="D1656" t="str">
        <f>"PROFESSOR NIVEL III"</f>
        <v>PROFESSOR NIVEL III</v>
      </c>
      <c r="E1656" t="str">
        <f t="shared" si="167"/>
        <v>Efetivo-Inativos II-RJUSM</v>
      </c>
      <c r="F1656" t="str">
        <f t="shared" si="168"/>
        <v>R$ 5.736,47</v>
      </c>
      <c r="G1656" t="str">
        <f>"R$ 11.472,93"</f>
        <v>R$ 11.472,93</v>
      </c>
      <c r="H1656" t="str">
        <f t="shared" si="166"/>
        <v>R$ 0,00</v>
      </c>
      <c r="I1656" t="str">
        <f>"R$ 11.472,93"</f>
        <v>R$ 11.472,93</v>
      </c>
      <c r="J1656" t="str">
        <f>"R$ 2.830,93"</f>
        <v>R$ 2.830,93</v>
      </c>
      <c r="K1656" t="str">
        <f>"R$ 8.642,00"</f>
        <v>R$ 8.642,00</v>
      </c>
    </row>
    <row r="1657" spans="1:11" x14ac:dyDescent="0.25">
      <c r="A1657" t="str">
        <f>"00028509 / 1"</f>
        <v>00028509 / 1</v>
      </c>
      <c r="B1657" t="str">
        <f>"13° Salário Anual"</f>
        <v>13° Salário Anual</v>
      </c>
      <c r="C1657" t="str">
        <f>"Odinea de Jesus da Costa e Silva"</f>
        <v>Odinea de Jesus da Costa e Silva</v>
      </c>
      <c r="D1657" t="str">
        <f>"PROFESSOR NIVEL II"</f>
        <v>PROFESSOR NIVEL II</v>
      </c>
      <c r="E1657" t="str">
        <f t="shared" si="167"/>
        <v>Efetivo-Inativos II-RJUSM</v>
      </c>
      <c r="F1657" t="str">
        <f t="shared" si="168"/>
        <v>R$ 5.736,47</v>
      </c>
      <c r="G1657" t="str">
        <f>"R$ 7.457,41"</f>
        <v>R$ 7.457,41</v>
      </c>
      <c r="H1657" t="str">
        <f t="shared" si="166"/>
        <v>R$ 0,00</v>
      </c>
      <c r="I1657" t="str">
        <f>"R$ 7.457,41"</f>
        <v>R$ 7.457,41</v>
      </c>
      <c r="J1657" t="str">
        <f>"R$ 5.047,79"</f>
        <v>R$ 5.047,79</v>
      </c>
      <c r="K1657" t="str">
        <f>"R$ 2.409,62"</f>
        <v>R$ 2.409,62</v>
      </c>
    </row>
    <row r="1658" spans="1:11" x14ac:dyDescent="0.25">
      <c r="A1658" t="str">
        <f>"00028509 / 1"</f>
        <v>00028509 / 1</v>
      </c>
      <c r="B1658" t="str">
        <f>"Folha Mensal"</f>
        <v>Folha Mensal</v>
      </c>
      <c r="C1658" t="str">
        <f>"Odinea de Jesus da Costa e Silva"</f>
        <v>Odinea de Jesus da Costa e Silva</v>
      </c>
      <c r="D1658" t="str">
        <f>"PROFESSOR NIVEL II"</f>
        <v>PROFESSOR NIVEL II</v>
      </c>
      <c r="E1658" t="str">
        <f t="shared" si="167"/>
        <v>Efetivo-Inativos II-RJUSM</v>
      </c>
      <c r="F1658" t="str">
        <f t="shared" si="168"/>
        <v>R$ 5.736,47</v>
      </c>
      <c r="G1658" t="str">
        <f>"R$ 7.457,41"</f>
        <v>R$ 7.457,41</v>
      </c>
      <c r="H1658" t="str">
        <f t="shared" si="166"/>
        <v>R$ 0,00</v>
      </c>
      <c r="I1658" t="str">
        <f>"R$ 7.457,41"</f>
        <v>R$ 7.457,41</v>
      </c>
      <c r="J1658" t="str">
        <f>"R$ 3.457,91"</f>
        <v>R$ 3.457,91</v>
      </c>
      <c r="K1658" t="str">
        <f>"R$ 3.999,50"</f>
        <v>R$ 3.999,50</v>
      </c>
    </row>
    <row r="1659" spans="1:11" x14ac:dyDescent="0.25">
      <c r="A1659" t="str">
        <f>"00004340 / 1"</f>
        <v>00004340 / 1</v>
      </c>
      <c r="B1659" t="str">
        <f>"13° Salário Anual"</f>
        <v>13° Salário Anual</v>
      </c>
      <c r="C1659" t="str">
        <f>"Olinda Barbosa de Sousa"</f>
        <v>Olinda Barbosa de Sousa</v>
      </c>
      <c r="D1659" t="str">
        <f>"PROP IDADE"</f>
        <v>PROP IDADE</v>
      </c>
      <c r="E1659" t="str">
        <f>"Efetivo-Inativo I- RJUSM"</f>
        <v>Efetivo-Inativo I- RJUSM</v>
      </c>
      <c r="F1659" t="str">
        <f>"R$ 1.100,00"</f>
        <v>R$ 1.100,00</v>
      </c>
      <c r="G1659" t="str">
        <f>"R$ 1.100,00"</f>
        <v>R$ 1.100,00</v>
      </c>
      <c r="H1659" t="str">
        <f t="shared" si="166"/>
        <v>R$ 0,00</v>
      </c>
      <c r="I1659" t="str">
        <f>"R$ 1.100,00"</f>
        <v>R$ 1.100,00</v>
      </c>
      <c r="J1659" t="str">
        <f>"R$ 550,00"</f>
        <v>R$ 550,00</v>
      </c>
      <c r="K1659" t="str">
        <f>"R$ 550,00"</f>
        <v>R$ 550,00</v>
      </c>
    </row>
    <row r="1660" spans="1:11" x14ac:dyDescent="0.25">
      <c r="A1660" t="str">
        <f>"00004340 / 1"</f>
        <v>00004340 / 1</v>
      </c>
      <c r="B1660" t="str">
        <f>"Folha Mensal"</f>
        <v>Folha Mensal</v>
      </c>
      <c r="C1660" t="str">
        <f>"Olinda Barbosa de Sousa"</f>
        <v>Olinda Barbosa de Sousa</v>
      </c>
      <c r="D1660" t="str">
        <f>"PROP IDADE"</f>
        <v>PROP IDADE</v>
      </c>
      <c r="E1660" t="str">
        <f>"Efetivo-Inativo I- RJUSM"</f>
        <v>Efetivo-Inativo I- RJUSM</v>
      </c>
      <c r="F1660" t="str">
        <f>"R$ 1.100,00"</f>
        <v>R$ 1.100,00</v>
      </c>
      <c r="G1660" t="str">
        <f>"R$ 1.100,00"</f>
        <v>R$ 1.100,00</v>
      </c>
      <c r="H1660" t="str">
        <f t="shared" si="166"/>
        <v>R$ 0,00</v>
      </c>
      <c r="I1660" t="str">
        <f>"R$ 1.100,00"</f>
        <v>R$ 1.100,00</v>
      </c>
      <c r="J1660" t="str">
        <f>"R$ 286,61"</f>
        <v>R$ 286,61</v>
      </c>
      <c r="K1660" t="str">
        <f>"R$ 813,39"</f>
        <v>R$ 813,39</v>
      </c>
    </row>
    <row r="1661" spans="1:11" x14ac:dyDescent="0.25">
      <c r="A1661" t="str">
        <f>"00002240 / 1"</f>
        <v>00002240 / 1</v>
      </c>
      <c r="B1661" t="str">
        <f>"13° Salário Anual"</f>
        <v>13° Salário Anual</v>
      </c>
      <c r="C1661" t="str">
        <f>"Olinda da Silva Santiago"</f>
        <v>Olinda da Silva Santiago</v>
      </c>
      <c r="D1661" t="str">
        <f>"PROFESSOR"</f>
        <v>PROFESSOR</v>
      </c>
      <c r="E1661" t="str">
        <f>"Efetivo-Inativo I- RJUSM"</f>
        <v>Efetivo-Inativo I- RJUSM</v>
      </c>
      <c r="F1661" t="str">
        <f>"R$ 1.593,46"</f>
        <v>R$ 1.593,46</v>
      </c>
      <c r="G1661" t="str">
        <f>"R$ 1.991,82"</f>
        <v>R$ 1.991,82</v>
      </c>
      <c r="H1661" t="str">
        <f t="shared" si="166"/>
        <v>R$ 0,00</v>
      </c>
      <c r="I1661" t="str">
        <f>"R$ 1.991,82"</f>
        <v>R$ 1.991,82</v>
      </c>
      <c r="J1661" t="str">
        <f>"R$ 995,91"</f>
        <v>R$ 995,91</v>
      </c>
      <c r="K1661" t="str">
        <f>"R$ 995,91"</f>
        <v>R$ 995,91</v>
      </c>
    </row>
    <row r="1662" spans="1:11" x14ac:dyDescent="0.25">
      <c r="A1662" t="str">
        <f>"00002240 / 1"</f>
        <v>00002240 / 1</v>
      </c>
      <c r="B1662" t="str">
        <f>"Folha Mensal"</f>
        <v>Folha Mensal</v>
      </c>
      <c r="C1662" t="str">
        <f>"Olinda da Silva Santiago"</f>
        <v>Olinda da Silva Santiago</v>
      </c>
      <c r="D1662" t="str">
        <f>"PROFESSOR"</f>
        <v>PROFESSOR</v>
      </c>
      <c r="E1662" t="str">
        <f>"Efetivo-Inativo I- RJUSM"</f>
        <v>Efetivo-Inativo I- RJUSM</v>
      </c>
      <c r="F1662" t="str">
        <f>"R$ 1.593,46"</f>
        <v>R$ 1.593,46</v>
      </c>
      <c r="G1662" t="str">
        <f>"R$ 1.991,82"</f>
        <v>R$ 1.991,82</v>
      </c>
      <c r="H1662" t="str">
        <f t="shared" si="166"/>
        <v>R$ 0,00</v>
      </c>
      <c r="I1662" t="str">
        <f>"R$ 1.991,82"</f>
        <v>R$ 1.991,82</v>
      </c>
      <c r="J1662" t="str">
        <f>"R$ 0,00"</f>
        <v>R$ 0,00</v>
      </c>
      <c r="K1662" t="str">
        <f>"R$ 1.991,82"</f>
        <v>R$ 1.991,82</v>
      </c>
    </row>
    <row r="1663" spans="1:11" x14ac:dyDescent="0.25">
      <c r="A1663" t="str">
        <f>"00053406 / 2"</f>
        <v>00053406 / 2</v>
      </c>
      <c r="B1663" t="str">
        <f>"13° Salário Anual"</f>
        <v>13° Salário Anual</v>
      </c>
      <c r="C1663" t="str">
        <f>"Olivaldo Borralho Miranda"</f>
        <v>Olivaldo Borralho Miranda</v>
      </c>
      <c r="D1663" t="str">
        <f>"PROP INVALIDEZ"</f>
        <v>PROP INVALIDEZ</v>
      </c>
      <c r="E1663" t="str">
        <f>"Efetivo-Inativos II-RJUSM"</f>
        <v>Efetivo-Inativos II-RJUSM</v>
      </c>
      <c r="F1663" t="str">
        <f>"R$ 2.358,71"</f>
        <v>R$ 2.358,71</v>
      </c>
      <c r="G1663" t="str">
        <f>"R$ 2.358,71"</f>
        <v>R$ 2.358,71</v>
      </c>
      <c r="H1663" t="str">
        <f t="shared" si="166"/>
        <v>R$ 0,00</v>
      </c>
      <c r="I1663" t="str">
        <f>"R$ 2.358,71"</f>
        <v>R$ 2.358,71</v>
      </c>
      <c r="J1663" t="str">
        <f>"R$ 1.213,45"</f>
        <v>R$ 1.213,45</v>
      </c>
      <c r="K1663" t="str">
        <f>"R$ 1.145,26"</f>
        <v>R$ 1.145,26</v>
      </c>
    </row>
    <row r="1664" spans="1:11" x14ac:dyDescent="0.25">
      <c r="A1664" t="str">
        <f>"00053406 / 2"</f>
        <v>00053406 / 2</v>
      </c>
      <c r="B1664" t="str">
        <f>"Folha Mensal"</f>
        <v>Folha Mensal</v>
      </c>
      <c r="C1664" t="str">
        <f>"Olivaldo Borralho Miranda"</f>
        <v>Olivaldo Borralho Miranda</v>
      </c>
      <c r="D1664" t="str">
        <f>"PROP INVALIDEZ"</f>
        <v>PROP INVALIDEZ</v>
      </c>
      <c r="E1664" t="str">
        <f>"Efetivo-Inativos II-RJUSM"</f>
        <v>Efetivo-Inativos II-RJUSM</v>
      </c>
      <c r="F1664" t="str">
        <f>"R$ 2.358,71"</f>
        <v>R$ 2.358,71</v>
      </c>
      <c r="G1664" t="str">
        <f>"R$ 2.358,71"</f>
        <v>R$ 2.358,71</v>
      </c>
      <c r="H1664" t="str">
        <f t="shared" si="166"/>
        <v>R$ 0,00</v>
      </c>
      <c r="I1664" t="str">
        <f>"R$ 2.358,71"</f>
        <v>R$ 2.358,71</v>
      </c>
      <c r="J1664" t="str">
        <f>"R$ 34,10"</f>
        <v>R$ 34,10</v>
      </c>
      <c r="K1664" t="str">
        <f>"R$ 2.324,61"</f>
        <v>R$ 2.324,61</v>
      </c>
    </row>
    <row r="1665" spans="1:11" x14ac:dyDescent="0.25">
      <c r="A1665" t="str">
        <f>"00000078 / 1"</f>
        <v>00000078 / 1</v>
      </c>
      <c r="B1665" t="str">
        <f>"13° Salário Anual"</f>
        <v>13° Salário Anual</v>
      </c>
      <c r="C1665" t="str">
        <f>"Oneide Andrade de Aragao"</f>
        <v>Oneide Andrade de Aragao</v>
      </c>
      <c r="D1665" t="str">
        <f>"PROFESSOR"</f>
        <v>PROFESSOR</v>
      </c>
      <c r="E1665" t="str">
        <f>"Efetivo-Inativo I- RJUSM"</f>
        <v>Efetivo-Inativo I- RJUSM</v>
      </c>
      <c r="F1665" t="str">
        <f>"R$ 1.673,12"</f>
        <v>R$ 1.673,12</v>
      </c>
      <c r="G1665" t="str">
        <f>"R$ 2.175,05"</f>
        <v>R$ 2.175,05</v>
      </c>
      <c r="H1665" t="str">
        <f t="shared" si="166"/>
        <v>R$ 0,00</v>
      </c>
      <c r="I1665" t="str">
        <f>"R$ 2.175,05"</f>
        <v>R$ 2.175,05</v>
      </c>
      <c r="J1665" t="str">
        <f>"R$ 1.087,52"</f>
        <v>R$ 1.087,52</v>
      </c>
      <c r="K1665" t="str">
        <f>"R$ 1.087,53"</f>
        <v>R$ 1.087,53</v>
      </c>
    </row>
    <row r="1666" spans="1:11" x14ac:dyDescent="0.25">
      <c r="A1666" t="str">
        <f>"00000078 / 1"</f>
        <v>00000078 / 1</v>
      </c>
      <c r="B1666" t="str">
        <f>"Folha Mensal"</f>
        <v>Folha Mensal</v>
      </c>
      <c r="C1666" t="str">
        <f>"Oneide Andrade de Aragao"</f>
        <v>Oneide Andrade de Aragao</v>
      </c>
      <c r="D1666" t="str">
        <f>"PROFESSOR"</f>
        <v>PROFESSOR</v>
      </c>
      <c r="E1666" t="str">
        <f>"Efetivo-Inativo I- RJUSM"</f>
        <v>Efetivo-Inativo I- RJUSM</v>
      </c>
      <c r="F1666" t="str">
        <f>"R$ 1.673,12"</f>
        <v>R$ 1.673,12</v>
      </c>
      <c r="G1666" t="str">
        <f>"R$ 2.175,05"</f>
        <v>R$ 2.175,05</v>
      </c>
      <c r="H1666" t="str">
        <f t="shared" si="166"/>
        <v>R$ 0,00</v>
      </c>
      <c r="I1666" t="str">
        <f>"R$ 2.175,05"</f>
        <v>R$ 2.175,05</v>
      </c>
      <c r="J1666" t="str">
        <f>"R$ 95,68"</f>
        <v>R$ 95,68</v>
      </c>
      <c r="K1666" t="str">
        <f>"R$ 2.079,37"</f>
        <v>R$ 2.079,37</v>
      </c>
    </row>
    <row r="1667" spans="1:11" x14ac:dyDescent="0.25">
      <c r="A1667" t="str">
        <f>"00022292 / 1"</f>
        <v>00022292 / 1</v>
      </c>
      <c r="B1667" t="str">
        <f>"13° Salário Anual"</f>
        <v>13° Salário Anual</v>
      </c>
      <c r="C1667" t="str">
        <f>"Oneide Maria da Silva"</f>
        <v>Oneide Maria da Silva</v>
      </c>
      <c r="D1667" t="str">
        <f>"INT TEMP CONTRIBUICAO"</f>
        <v>INT TEMP CONTRIBUICAO</v>
      </c>
      <c r="E1667" t="str">
        <f>"Efetivo-Inativos II-RJUSM"</f>
        <v>Efetivo-Inativos II-RJUSM</v>
      </c>
      <c r="F1667" t="str">
        <f>"R$ 1.100,00"</f>
        <v>R$ 1.100,00</v>
      </c>
      <c r="G1667" t="str">
        <f>"R$ 1.430,00"</f>
        <v>R$ 1.430,00</v>
      </c>
      <c r="H1667" t="str">
        <f t="shared" si="166"/>
        <v>R$ 0,00</v>
      </c>
      <c r="I1667" t="str">
        <f>"R$ 1.430,00"</f>
        <v>R$ 1.430,00</v>
      </c>
      <c r="J1667" t="str">
        <f>"R$ 715,00"</f>
        <v>R$ 715,00</v>
      </c>
      <c r="K1667" t="str">
        <f>"R$ 715,00"</f>
        <v>R$ 715,00</v>
      </c>
    </row>
    <row r="1668" spans="1:11" x14ac:dyDescent="0.25">
      <c r="A1668" t="str">
        <f>"00022292 / 1"</f>
        <v>00022292 / 1</v>
      </c>
      <c r="B1668" t="str">
        <f>"Folha Mensal"</f>
        <v>Folha Mensal</v>
      </c>
      <c r="C1668" t="str">
        <f>"Oneide Maria da Silva"</f>
        <v>Oneide Maria da Silva</v>
      </c>
      <c r="D1668" t="str">
        <f>"INT TEMP CONTRIBUICAO"</f>
        <v>INT TEMP CONTRIBUICAO</v>
      </c>
      <c r="E1668" t="str">
        <f>"Efetivo-Inativos II-RJUSM"</f>
        <v>Efetivo-Inativos II-RJUSM</v>
      </c>
      <c r="F1668" t="str">
        <f>"R$ 1.100,00"</f>
        <v>R$ 1.100,00</v>
      </c>
      <c r="G1668" t="str">
        <f>"R$ 1.430,00"</f>
        <v>R$ 1.430,00</v>
      </c>
      <c r="H1668" t="str">
        <f t="shared" si="166"/>
        <v>R$ 0,00</v>
      </c>
      <c r="I1668" t="str">
        <f>"R$ 1.430,00"</f>
        <v>R$ 1.430,00</v>
      </c>
      <c r="J1668" t="str">
        <f>"R$ 428,36"</f>
        <v>R$ 428,36</v>
      </c>
      <c r="K1668" t="str">
        <f>"R$ 1.001,64"</f>
        <v>R$ 1.001,64</v>
      </c>
    </row>
    <row r="1669" spans="1:11" x14ac:dyDescent="0.25">
      <c r="A1669" t="str">
        <f>"00029041 / 1"</f>
        <v>00029041 / 1</v>
      </c>
      <c r="B1669" t="str">
        <f>"13° Salário Anual"</f>
        <v>13° Salário Anual</v>
      </c>
      <c r="C1669" t="str">
        <f>"Orlandina Tabosa da Silva"</f>
        <v>Orlandina Tabosa da Silva</v>
      </c>
      <c r="D1669" t="str">
        <f>"PROFESSOR"</f>
        <v>PROFESSOR</v>
      </c>
      <c r="E1669" t="str">
        <f t="shared" ref="E1669:E1674" si="169">"Efetivo-Inativo I- RJUSM"</f>
        <v>Efetivo-Inativo I- RJUSM</v>
      </c>
      <c r="F1669" t="str">
        <f>"R$ 1.673,12"</f>
        <v>R$ 1.673,12</v>
      </c>
      <c r="G1669" t="str">
        <f>"R$ 2.091,40"</f>
        <v>R$ 2.091,40</v>
      </c>
      <c r="H1669" t="str">
        <f t="shared" si="166"/>
        <v>R$ 0,00</v>
      </c>
      <c r="I1669" t="str">
        <f>"R$ 2.091,40"</f>
        <v>R$ 2.091,40</v>
      </c>
      <c r="J1669" t="str">
        <f>"R$ 1.045,70"</f>
        <v>R$ 1.045,70</v>
      </c>
      <c r="K1669" t="str">
        <f>"R$ 1.045,70"</f>
        <v>R$ 1.045,70</v>
      </c>
    </row>
    <row r="1670" spans="1:11" x14ac:dyDescent="0.25">
      <c r="A1670" t="str">
        <f>"00029041 / 1"</f>
        <v>00029041 / 1</v>
      </c>
      <c r="B1670" t="str">
        <f>"Folha Mensal"</f>
        <v>Folha Mensal</v>
      </c>
      <c r="C1670" t="str">
        <f>"Orlandina Tabosa da Silva"</f>
        <v>Orlandina Tabosa da Silva</v>
      </c>
      <c r="D1670" t="str">
        <f>"PROFESSOR"</f>
        <v>PROFESSOR</v>
      </c>
      <c r="E1670" t="str">
        <f t="shared" si="169"/>
        <v>Efetivo-Inativo I- RJUSM</v>
      </c>
      <c r="F1670" t="str">
        <f>"R$ 1.673,12"</f>
        <v>R$ 1.673,12</v>
      </c>
      <c r="G1670" t="str">
        <f>"R$ 2.091,40"</f>
        <v>R$ 2.091,40</v>
      </c>
      <c r="H1670" t="str">
        <f t="shared" si="166"/>
        <v>R$ 0,00</v>
      </c>
      <c r="I1670" t="str">
        <f>"R$ 2.091,40"</f>
        <v>R$ 2.091,40</v>
      </c>
      <c r="J1670" t="str">
        <f>"R$ 0,00"</f>
        <v>R$ 0,00</v>
      </c>
      <c r="K1670" t="str">
        <f>"R$ 2.091,40"</f>
        <v>R$ 2.091,40</v>
      </c>
    </row>
    <row r="1671" spans="1:11" x14ac:dyDescent="0.25">
      <c r="A1671" t="str">
        <f>"00004448 / 1"</f>
        <v>00004448 / 1</v>
      </c>
      <c r="B1671" t="str">
        <f>"13° Salário Anual"</f>
        <v>13° Salário Anual</v>
      </c>
      <c r="C1671" t="str">
        <f>"Osmarina Braz Lobo Martins"</f>
        <v>Osmarina Braz Lobo Martins</v>
      </c>
      <c r="D1671" t="str">
        <f>"PROP IDADE"</f>
        <v>PROP IDADE</v>
      </c>
      <c r="E1671" t="str">
        <f t="shared" si="169"/>
        <v>Efetivo-Inativo I- RJUSM</v>
      </c>
      <c r="F1671" t="str">
        <f>"R$ 1.100,00"</f>
        <v>R$ 1.100,00</v>
      </c>
      <c r="G1671" t="str">
        <f>"R$ 1.100,00"</f>
        <v>R$ 1.100,00</v>
      </c>
      <c r="H1671" t="str">
        <f t="shared" si="166"/>
        <v>R$ 0,00</v>
      </c>
      <c r="I1671" t="str">
        <f>"R$ 1.100,00"</f>
        <v>R$ 1.100,00</v>
      </c>
      <c r="J1671" t="str">
        <f>"R$ 550,00"</f>
        <v>R$ 550,00</v>
      </c>
      <c r="K1671" t="str">
        <f>"R$ 550,00"</f>
        <v>R$ 550,00</v>
      </c>
    </row>
    <row r="1672" spans="1:11" x14ac:dyDescent="0.25">
      <c r="A1672" t="str">
        <f>"00004448 / 1"</f>
        <v>00004448 / 1</v>
      </c>
      <c r="B1672" t="str">
        <f>"Folha Mensal"</f>
        <v>Folha Mensal</v>
      </c>
      <c r="C1672" t="str">
        <f>"Osmarina Braz Lobo Martins"</f>
        <v>Osmarina Braz Lobo Martins</v>
      </c>
      <c r="D1672" t="str">
        <f>"PROP IDADE"</f>
        <v>PROP IDADE</v>
      </c>
      <c r="E1672" t="str">
        <f t="shared" si="169"/>
        <v>Efetivo-Inativo I- RJUSM</v>
      </c>
      <c r="F1672" t="str">
        <f>"R$ 1.100,00"</f>
        <v>R$ 1.100,00</v>
      </c>
      <c r="G1672" t="str">
        <f>"R$ 1.100,00"</f>
        <v>R$ 1.100,00</v>
      </c>
      <c r="H1672" t="str">
        <f t="shared" si="166"/>
        <v>R$ 0,00</v>
      </c>
      <c r="I1672" t="str">
        <f>"R$ 1.100,00"</f>
        <v>R$ 1.100,00</v>
      </c>
      <c r="J1672" t="str">
        <f>"R$ 264,05"</f>
        <v>R$ 264,05</v>
      </c>
      <c r="K1672" t="str">
        <f>"R$ 835,95"</f>
        <v>R$ 835,95</v>
      </c>
    </row>
    <row r="1673" spans="1:11" x14ac:dyDescent="0.25">
      <c r="A1673" t="str">
        <f>"00024562 / 1"</f>
        <v>00024562 / 1</v>
      </c>
      <c r="B1673" t="str">
        <f>"13° Salário Anual"</f>
        <v>13° Salário Anual</v>
      </c>
      <c r="C1673" t="str">
        <f>"Otacilia Costa dos Santos"</f>
        <v>Otacilia Costa dos Santos</v>
      </c>
      <c r="D1673" t="str">
        <f>"PROFESSOR"</f>
        <v>PROFESSOR</v>
      </c>
      <c r="E1673" t="str">
        <f t="shared" si="169"/>
        <v>Efetivo-Inativo I- RJUSM</v>
      </c>
      <c r="F1673" t="str">
        <f>"R$ 1.593,46"</f>
        <v>R$ 1.593,46</v>
      </c>
      <c r="G1673" t="str">
        <f>"R$ 1.991,82"</f>
        <v>R$ 1.991,82</v>
      </c>
      <c r="H1673" t="str">
        <f t="shared" si="166"/>
        <v>R$ 0,00</v>
      </c>
      <c r="I1673" t="str">
        <f>"R$ 1.991,82"</f>
        <v>R$ 1.991,82</v>
      </c>
      <c r="J1673" t="str">
        <f>"R$ 995,91"</f>
        <v>R$ 995,91</v>
      </c>
      <c r="K1673" t="str">
        <f>"R$ 995,91"</f>
        <v>R$ 995,91</v>
      </c>
    </row>
    <row r="1674" spans="1:11" x14ac:dyDescent="0.25">
      <c r="A1674" t="str">
        <f>"00024562 / 1"</f>
        <v>00024562 / 1</v>
      </c>
      <c r="B1674" t="str">
        <f>"Folha Mensal"</f>
        <v>Folha Mensal</v>
      </c>
      <c r="C1674" t="str">
        <f>"Otacilia Costa dos Santos"</f>
        <v>Otacilia Costa dos Santos</v>
      </c>
      <c r="D1674" t="str">
        <f>"PROFESSOR"</f>
        <v>PROFESSOR</v>
      </c>
      <c r="E1674" t="str">
        <f t="shared" si="169"/>
        <v>Efetivo-Inativo I- RJUSM</v>
      </c>
      <c r="F1674" t="str">
        <f>"R$ 1.593,46"</f>
        <v>R$ 1.593,46</v>
      </c>
      <c r="G1674" t="str">
        <f>"R$ 1.991,82"</f>
        <v>R$ 1.991,82</v>
      </c>
      <c r="H1674" t="str">
        <f t="shared" si="166"/>
        <v>R$ 0,00</v>
      </c>
      <c r="I1674" t="str">
        <f>"R$ 1.991,82"</f>
        <v>R$ 1.991,82</v>
      </c>
      <c r="J1674" t="str">
        <f>"R$ 696,04"</f>
        <v>R$ 696,04</v>
      </c>
      <c r="K1674" t="str">
        <f>"R$ 1.295,78"</f>
        <v>R$ 1.295,78</v>
      </c>
    </row>
    <row r="1675" spans="1:11" x14ac:dyDescent="0.25">
      <c r="A1675" t="str">
        <f>"00066702 / 1"</f>
        <v>00066702 / 1</v>
      </c>
      <c r="B1675" t="str">
        <f>"13° Salário Anual"</f>
        <v>13° Salário Anual</v>
      </c>
      <c r="C1675" t="str">
        <f>"Otilia da Costa Pereira"</f>
        <v>Otilia da Costa Pereira</v>
      </c>
      <c r="D1675" t="str">
        <f>"PROFESSOR NIVEL II"</f>
        <v>PROFESSOR NIVEL II</v>
      </c>
      <c r="E1675" t="str">
        <f>"Efetivo-Inativos II-RJUSM"</f>
        <v>Efetivo-Inativos II-RJUSM</v>
      </c>
      <c r="F1675" t="str">
        <f>"R$ 3.090,26"</f>
        <v>R$ 3.090,26</v>
      </c>
      <c r="G1675" t="str">
        <f>"R$ 3.090,26"</f>
        <v>R$ 3.090,26</v>
      </c>
      <c r="H1675" t="str">
        <f t="shared" si="166"/>
        <v>R$ 0,00</v>
      </c>
      <c r="I1675" t="str">
        <f>"R$ 3.090,26"</f>
        <v>R$ 3.090,26</v>
      </c>
      <c r="J1675" t="str">
        <f>"R$ 1.545,13"</f>
        <v>R$ 1.545,13</v>
      </c>
      <c r="K1675" t="str">
        <f>"R$ 1.545,13"</f>
        <v>R$ 1.545,13</v>
      </c>
    </row>
    <row r="1676" spans="1:11" x14ac:dyDescent="0.25">
      <c r="A1676" t="str">
        <f>"00066702 / 1"</f>
        <v>00066702 / 1</v>
      </c>
      <c r="B1676" t="str">
        <f>"Folha Mensal"</f>
        <v>Folha Mensal</v>
      </c>
      <c r="C1676" t="str">
        <f>"Otilia da Costa Pereira"</f>
        <v>Otilia da Costa Pereira</v>
      </c>
      <c r="D1676" t="str">
        <f>"PROFESSOR NIVEL II"</f>
        <v>PROFESSOR NIVEL II</v>
      </c>
      <c r="E1676" t="str">
        <f>"Efetivo-Inativos II-RJUSM"</f>
        <v>Efetivo-Inativos II-RJUSM</v>
      </c>
      <c r="F1676" t="str">
        <f>"R$ 3.090,26"</f>
        <v>R$ 3.090,26</v>
      </c>
      <c r="G1676" t="str">
        <f>"R$ 3.090,26"</f>
        <v>R$ 3.090,26</v>
      </c>
      <c r="H1676" t="str">
        <f t="shared" si="166"/>
        <v>R$ 0,00</v>
      </c>
      <c r="I1676" t="str">
        <f>"R$ 3.090,26"</f>
        <v>R$ 3.090,26</v>
      </c>
      <c r="J1676" t="str">
        <f>"R$ 0,00"</f>
        <v>R$ 0,00</v>
      </c>
      <c r="K1676" t="str">
        <f>"R$ 3.090,26"</f>
        <v>R$ 3.090,26</v>
      </c>
    </row>
    <row r="1677" spans="1:11" x14ac:dyDescent="0.25">
      <c r="A1677" t="str">
        <f>"00003344 / 1"</f>
        <v>00003344 / 1</v>
      </c>
      <c r="B1677" t="str">
        <f>"13° Salário Anual"</f>
        <v>13° Salário Anual</v>
      </c>
      <c r="C1677" t="str">
        <f>"Paula Pinheiro Martins"</f>
        <v>Paula Pinheiro Martins</v>
      </c>
      <c r="D1677" t="str">
        <f>"INT TEMP CONTRIBUICAO"</f>
        <v>INT TEMP CONTRIBUICAO</v>
      </c>
      <c r="E1677" t="str">
        <f>"Efetivo-Inativos II-RJUSM"</f>
        <v>Efetivo-Inativos II-RJUSM</v>
      </c>
      <c r="F1677" t="str">
        <f t="shared" ref="F1677:F1686" si="170">"R$ 1.100,00"</f>
        <v>R$ 1.100,00</v>
      </c>
      <c r="G1677" t="str">
        <f>"R$ 1.430,00"</f>
        <v>R$ 1.430,00</v>
      </c>
      <c r="H1677" t="str">
        <f t="shared" si="166"/>
        <v>R$ 0,00</v>
      </c>
      <c r="I1677" t="str">
        <f>"R$ 1.430,00"</f>
        <v>R$ 1.430,00</v>
      </c>
      <c r="J1677" t="str">
        <f>"R$ 715,00"</f>
        <v>R$ 715,00</v>
      </c>
      <c r="K1677" t="str">
        <f>"R$ 715,00"</f>
        <v>R$ 715,00</v>
      </c>
    </row>
    <row r="1678" spans="1:11" x14ac:dyDescent="0.25">
      <c r="A1678" t="str">
        <f>"00003344 / 1"</f>
        <v>00003344 / 1</v>
      </c>
      <c r="B1678" t="str">
        <f>"Folha Mensal"</f>
        <v>Folha Mensal</v>
      </c>
      <c r="C1678" t="str">
        <f>"Paula Pinheiro Martins"</f>
        <v>Paula Pinheiro Martins</v>
      </c>
      <c r="D1678" t="str">
        <f>"INT TEMP CONTRIBUICAO"</f>
        <v>INT TEMP CONTRIBUICAO</v>
      </c>
      <c r="E1678" t="str">
        <f>"Efetivo-Inativos II-RJUSM"</f>
        <v>Efetivo-Inativos II-RJUSM</v>
      </c>
      <c r="F1678" t="str">
        <f t="shared" si="170"/>
        <v>R$ 1.100,00</v>
      </c>
      <c r="G1678" t="str">
        <f>"R$ 1.430,00"</f>
        <v>R$ 1.430,00</v>
      </c>
      <c r="H1678" t="str">
        <f t="shared" si="166"/>
        <v>R$ 0,00</v>
      </c>
      <c r="I1678" t="str">
        <f>"R$ 1.430,00"</f>
        <v>R$ 1.430,00</v>
      </c>
      <c r="J1678" t="str">
        <f>"R$ 0,00"</f>
        <v>R$ 0,00</v>
      </c>
      <c r="K1678" t="str">
        <f>"R$ 1.430,00"</f>
        <v>R$ 1.430,00</v>
      </c>
    </row>
    <row r="1679" spans="1:11" x14ac:dyDescent="0.25">
      <c r="A1679" t="str">
        <f>"03643158 / 1"</f>
        <v>03643158 / 1</v>
      </c>
      <c r="B1679" t="str">
        <f>"13° Salário Anual"</f>
        <v>13° Salário Anual</v>
      </c>
      <c r="C1679" t="str">
        <f>"Paulo da Silva"</f>
        <v>Paulo da Silva</v>
      </c>
      <c r="D1679" t="str">
        <f>"PENSIONISTA"</f>
        <v>PENSIONISTA</v>
      </c>
      <c r="E1679" t="str">
        <f>"Pensionista"</f>
        <v>Pensionista</v>
      </c>
      <c r="F1679" t="str">
        <f t="shared" si="170"/>
        <v>R$ 1.100,00</v>
      </c>
      <c r="G1679" t="str">
        <f>"R$ 1.430,00"</f>
        <v>R$ 1.430,00</v>
      </c>
      <c r="H1679" t="str">
        <f t="shared" si="166"/>
        <v>R$ 0,00</v>
      </c>
      <c r="I1679" t="str">
        <f>"R$ 1.430,00"</f>
        <v>R$ 1.430,00</v>
      </c>
      <c r="J1679" t="str">
        <f>"R$ 715,00"</f>
        <v>R$ 715,00</v>
      </c>
      <c r="K1679" t="str">
        <f>"R$ 715,00"</f>
        <v>R$ 715,00</v>
      </c>
    </row>
    <row r="1680" spans="1:11" x14ac:dyDescent="0.25">
      <c r="A1680" t="str">
        <f>"03643158 / 1"</f>
        <v>03643158 / 1</v>
      </c>
      <c r="B1680" t="str">
        <f>"Folha Mensal"</f>
        <v>Folha Mensal</v>
      </c>
      <c r="C1680" t="str">
        <f>"Paulo da Silva"</f>
        <v>Paulo da Silva</v>
      </c>
      <c r="D1680" t="str">
        <f>"PENSIONISTA"</f>
        <v>PENSIONISTA</v>
      </c>
      <c r="E1680" t="str">
        <f>"Pensionista"</f>
        <v>Pensionista</v>
      </c>
      <c r="F1680" t="str">
        <f t="shared" si="170"/>
        <v>R$ 1.100,00</v>
      </c>
      <c r="G1680" t="str">
        <f>"R$ 1.430,00"</f>
        <v>R$ 1.430,00</v>
      </c>
      <c r="H1680" t="str">
        <f t="shared" si="166"/>
        <v>R$ 0,00</v>
      </c>
      <c r="I1680" t="str">
        <f>"R$ 1.430,00"</f>
        <v>R$ 1.430,00</v>
      </c>
      <c r="J1680" t="str">
        <f>"R$ 387,88"</f>
        <v>R$ 387,88</v>
      </c>
      <c r="K1680" t="str">
        <f>"R$ 1.042,12"</f>
        <v>R$ 1.042,12</v>
      </c>
    </row>
    <row r="1681" spans="1:11" x14ac:dyDescent="0.25">
      <c r="A1681" t="str">
        <f>"00019623 / 1"</f>
        <v>00019623 / 1</v>
      </c>
      <c r="B1681" t="str">
        <f>"13° Salário Anual"</f>
        <v>13° Salário Anual</v>
      </c>
      <c r="C1681" t="str">
        <f>"Pedro Barral"</f>
        <v>Pedro Barral</v>
      </c>
      <c r="D1681" t="str">
        <f>"PROP COMPULSORIA"</f>
        <v>PROP COMPULSORIA</v>
      </c>
      <c r="E1681" t="str">
        <f>"Efetivo-Inativo I- RJUSM"</f>
        <v>Efetivo-Inativo I- RJUSM</v>
      </c>
      <c r="F1681" t="str">
        <f t="shared" si="170"/>
        <v>R$ 1.100,00</v>
      </c>
      <c r="G1681" t="str">
        <f>"R$ 1.100,00"</f>
        <v>R$ 1.100,00</v>
      </c>
      <c r="H1681" t="str">
        <f t="shared" si="166"/>
        <v>R$ 0,00</v>
      </c>
      <c r="I1681" t="str">
        <f>"R$ 1.100,00"</f>
        <v>R$ 1.100,00</v>
      </c>
      <c r="J1681" t="str">
        <f>"R$ 550,00"</f>
        <v>R$ 550,00</v>
      </c>
      <c r="K1681" t="str">
        <f>"R$ 550,00"</f>
        <v>R$ 550,00</v>
      </c>
    </row>
    <row r="1682" spans="1:11" x14ac:dyDescent="0.25">
      <c r="A1682" t="str">
        <f>"00019623 / 1"</f>
        <v>00019623 / 1</v>
      </c>
      <c r="B1682" t="str">
        <f>"Folha Mensal"</f>
        <v>Folha Mensal</v>
      </c>
      <c r="C1682" t="str">
        <f>"Pedro Barral"</f>
        <v>Pedro Barral</v>
      </c>
      <c r="D1682" t="str">
        <f>"PROP COMPULSORIA"</f>
        <v>PROP COMPULSORIA</v>
      </c>
      <c r="E1682" t="str">
        <f>"Efetivo-Inativo I- RJUSM"</f>
        <v>Efetivo-Inativo I- RJUSM</v>
      </c>
      <c r="F1682" t="str">
        <f t="shared" si="170"/>
        <v>R$ 1.100,00</v>
      </c>
      <c r="G1682" t="str">
        <f>"R$ 1.100,00"</f>
        <v>R$ 1.100,00</v>
      </c>
      <c r="H1682" t="str">
        <f t="shared" si="166"/>
        <v>R$ 0,00</v>
      </c>
      <c r="I1682" t="str">
        <f>"R$ 1.100,00"</f>
        <v>R$ 1.100,00</v>
      </c>
      <c r="J1682" t="str">
        <f>"R$ 0,00"</f>
        <v>R$ 0,00</v>
      </c>
      <c r="K1682" t="str">
        <f>"R$ 1.100,00"</f>
        <v>R$ 1.100,00</v>
      </c>
    </row>
    <row r="1683" spans="1:11" x14ac:dyDescent="0.25">
      <c r="A1683" t="str">
        <f>"03642984 / 1"</f>
        <v>03642984 / 1</v>
      </c>
      <c r="B1683" t="str">
        <f>"13° Salário Anual"</f>
        <v>13° Salário Anual</v>
      </c>
      <c r="C1683" t="str">
        <f>"Pedro Nolasco Alves da Rocha"</f>
        <v>Pedro Nolasco Alves da Rocha</v>
      </c>
      <c r="D1683" t="str">
        <f>"PENSIONISTA"</f>
        <v>PENSIONISTA</v>
      </c>
      <c r="E1683" t="str">
        <f>"Pensionista"</f>
        <v>Pensionista</v>
      </c>
      <c r="F1683" t="str">
        <f t="shared" si="170"/>
        <v>R$ 1.100,00</v>
      </c>
      <c r="G1683" t="str">
        <f>"R$ 1.100,00"</f>
        <v>R$ 1.100,00</v>
      </c>
      <c r="H1683" t="str">
        <f t="shared" si="166"/>
        <v>R$ 0,00</v>
      </c>
      <c r="I1683" t="str">
        <f>"R$ 1.100,00"</f>
        <v>R$ 1.100,00</v>
      </c>
      <c r="J1683" t="str">
        <f>"R$ 550,00"</f>
        <v>R$ 550,00</v>
      </c>
      <c r="K1683" t="str">
        <f>"R$ 550,00"</f>
        <v>R$ 550,00</v>
      </c>
    </row>
    <row r="1684" spans="1:11" x14ac:dyDescent="0.25">
      <c r="A1684" t="str">
        <f>"03642984 / 1"</f>
        <v>03642984 / 1</v>
      </c>
      <c r="B1684" t="str">
        <f>"Folha Mensal"</f>
        <v>Folha Mensal</v>
      </c>
      <c r="C1684" t="str">
        <f>"Pedro Nolasco Alves da Rocha"</f>
        <v>Pedro Nolasco Alves da Rocha</v>
      </c>
      <c r="D1684" t="str">
        <f>"PENSIONISTA"</f>
        <v>PENSIONISTA</v>
      </c>
      <c r="E1684" t="str">
        <f>"Pensionista"</f>
        <v>Pensionista</v>
      </c>
      <c r="F1684" t="str">
        <f t="shared" si="170"/>
        <v>R$ 1.100,00</v>
      </c>
      <c r="G1684" t="str">
        <f>"R$ 1.100,00"</f>
        <v>R$ 1.100,00</v>
      </c>
      <c r="H1684" t="str">
        <f t="shared" si="166"/>
        <v>R$ 0,00</v>
      </c>
      <c r="I1684" t="str">
        <f>"R$ 1.100,00"</f>
        <v>R$ 1.100,00</v>
      </c>
      <c r="J1684" t="str">
        <f>"R$ 384,85"</f>
        <v>R$ 384,85</v>
      </c>
      <c r="K1684" t="str">
        <f>"R$ 715,15"</f>
        <v>R$ 715,15</v>
      </c>
    </row>
    <row r="1685" spans="1:11" x14ac:dyDescent="0.25">
      <c r="A1685" t="str">
        <f>"00032093 / 1"</f>
        <v>00032093 / 1</v>
      </c>
      <c r="B1685" t="str">
        <f>"13° Salário Anual"</f>
        <v>13° Salário Anual</v>
      </c>
      <c r="C1685" t="str">
        <f>"Petrus Luiz de Souza Teixeira"</f>
        <v>Petrus Luiz de Souza Teixeira</v>
      </c>
      <c r="D1685" t="str">
        <f>"INT TEMP CONTRIBUICAO"</f>
        <v>INT TEMP CONTRIBUICAO</v>
      </c>
      <c r="E1685" t="str">
        <f>"Efetivo-Inativo I- RJUSM"</f>
        <v>Efetivo-Inativo I- RJUSM</v>
      </c>
      <c r="F1685" t="str">
        <f t="shared" si="170"/>
        <v>R$ 1.100,00</v>
      </c>
      <c r="G1685" t="str">
        <f>"R$ 1.430,00"</f>
        <v>R$ 1.430,00</v>
      </c>
      <c r="H1685" t="str">
        <f t="shared" si="166"/>
        <v>R$ 0,00</v>
      </c>
      <c r="I1685" t="str">
        <f>"R$ 1.430,00"</f>
        <v>R$ 1.430,00</v>
      </c>
      <c r="J1685" t="str">
        <f>"R$ 715,00"</f>
        <v>R$ 715,00</v>
      </c>
      <c r="K1685" t="str">
        <f>"R$ 715,00"</f>
        <v>R$ 715,00</v>
      </c>
    </row>
    <row r="1686" spans="1:11" x14ac:dyDescent="0.25">
      <c r="A1686" t="str">
        <f>"00032093 / 1"</f>
        <v>00032093 / 1</v>
      </c>
      <c r="B1686" t="str">
        <f>"Folha Mensal"</f>
        <v>Folha Mensal</v>
      </c>
      <c r="C1686" t="str">
        <f>"Petrus Luiz de Souza Teixeira"</f>
        <v>Petrus Luiz de Souza Teixeira</v>
      </c>
      <c r="D1686" t="str">
        <f>"INT TEMP CONTRIBUICAO"</f>
        <v>INT TEMP CONTRIBUICAO</v>
      </c>
      <c r="E1686" t="str">
        <f>"Efetivo-Inativo I- RJUSM"</f>
        <v>Efetivo-Inativo I- RJUSM</v>
      </c>
      <c r="F1686" t="str">
        <f t="shared" si="170"/>
        <v>R$ 1.100,00</v>
      </c>
      <c r="G1686" t="str">
        <f>"R$ 1.430,00"</f>
        <v>R$ 1.430,00</v>
      </c>
      <c r="H1686" t="str">
        <f t="shared" si="166"/>
        <v>R$ 0,00</v>
      </c>
      <c r="I1686" t="str">
        <f>"R$ 1.430,00"</f>
        <v>R$ 1.430,00</v>
      </c>
      <c r="J1686" t="str">
        <f>"R$ 385,05"</f>
        <v>R$ 385,05</v>
      </c>
      <c r="K1686" t="str">
        <f>"R$ 1.044,95"</f>
        <v>R$ 1.044,95</v>
      </c>
    </row>
    <row r="1687" spans="1:11" x14ac:dyDescent="0.25">
      <c r="A1687" t="str">
        <f>"00024767 / 1"</f>
        <v>00024767 / 1</v>
      </c>
      <c r="B1687" t="str">
        <f>"13° Salário Anual"</f>
        <v>13° Salário Anual</v>
      </c>
      <c r="C1687" t="str">
        <f>"Pureza Flexa Souza"</f>
        <v>Pureza Flexa Souza</v>
      </c>
      <c r="D1687" t="str">
        <f>"PROFESSOR NIVEL II"</f>
        <v>PROFESSOR NIVEL II</v>
      </c>
      <c r="E1687" t="str">
        <f>"Efetivo-Inativo I- RJUSM"</f>
        <v>Efetivo-Inativo I- RJUSM</v>
      </c>
      <c r="F1687" t="str">
        <f>"R$ 2.635,28"</f>
        <v>R$ 2.635,28</v>
      </c>
      <c r="G1687" t="str">
        <f>"R$ 3.425,86"</f>
        <v>R$ 3.425,86</v>
      </c>
      <c r="H1687" t="str">
        <f t="shared" si="166"/>
        <v>R$ 0,00</v>
      </c>
      <c r="I1687" t="str">
        <f>"R$ 3.425,86"</f>
        <v>R$ 3.425,86</v>
      </c>
      <c r="J1687" t="str">
        <f>"R$ 1.712,93"</f>
        <v>R$ 1.712,93</v>
      </c>
      <c r="K1687" t="str">
        <f>"R$ 1.712,93"</f>
        <v>R$ 1.712,93</v>
      </c>
    </row>
    <row r="1688" spans="1:11" x14ac:dyDescent="0.25">
      <c r="A1688" t="str">
        <f>"00024767 / 1"</f>
        <v>00024767 / 1</v>
      </c>
      <c r="B1688" t="str">
        <f>"Folha Mensal"</f>
        <v>Folha Mensal</v>
      </c>
      <c r="C1688" t="str">
        <f>"Pureza Flexa Souza"</f>
        <v>Pureza Flexa Souza</v>
      </c>
      <c r="D1688" t="str">
        <f>"PROFESSOR NIVEL II"</f>
        <v>PROFESSOR NIVEL II</v>
      </c>
      <c r="E1688" t="str">
        <f>"Efetivo-Inativo I- RJUSM"</f>
        <v>Efetivo-Inativo I- RJUSM</v>
      </c>
      <c r="F1688" t="str">
        <f>"R$ 2.635,28"</f>
        <v>R$ 2.635,28</v>
      </c>
      <c r="G1688" t="str">
        <f>"R$ 3.425,86"</f>
        <v>R$ 3.425,86</v>
      </c>
      <c r="H1688" t="str">
        <f t="shared" si="166"/>
        <v>R$ 0,00</v>
      </c>
      <c r="I1688" t="str">
        <f>"R$ 3.425,86"</f>
        <v>R$ 3.425,86</v>
      </c>
      <c r="J1688" t="str">
        <f>"R$ 1.345,64"</f>
        <v>R$ 1.345,64</v>
      </c>
      <c r="K1688" t="str">
        <f>"R$ 2.080,22"</f>
        <v>R$ 2.080,22</v>
      </c>
    </row>
    <row r="1689" spans="1:11" x14ac:dyDescent="0.25">
      <c r="A1689" t="str">
        <f>"03641270 / 1"</f>
        <v>03641270 / 1</v>
      </c>
      <c r="B1689" t="str">
        <f>"13° Salário Anual"</f>
        <v>13° Salário Anual</v>
      </c>
      <c r="C1689" t="str">
        <f>"Rafael Carvalho dos Santos"</f>
        <v>Rafael Carvalho dos Santos</v>
      </c>
      <c r="D1689" t="str">
        <f>"DAS 05"</f>
        <v>DAS 05</v>
      </c>
      <c r="E1689" t="str">
        <f>"Comissionado"</f>
        <v>Comissionado</v>
      </c>
      <c r="F1689" t="str">
        <f>"R$ 2.025,00"</f>
        <v>R$ 2.025,00</v>
      </c>
      <c r="G1689" t="str">
        <f>"R$ 1.518,75"</f>
        <v>R$ 1.518,75</v>
      </c>
      <c r="H1689" t="str">
        <f t="shared" si="166"/>
        <v>R$ 0,00</v>
      </c>
      <c r="I1689" t="str">
        <f>"R$ 1.518,75"</f>
        <v>R$ 1.518,75</v>
      </c>
      <c r="J1689" t="str">
        <f>"R$ 879,55"</f>
        <v>R$ 879,55</v>
      </c>
      <c r="K1689" t="str">
        <f>"R$ 639,20"</f>
        <v>R$ 639,20</v>
      </c>
    </row>
    <row r="1690" spans="1:11" x14ac:dyDescent="0.25">
      <c r="A1690" t="str">
        <f>"03641270 / 1"</f>
        <v>03641270 / 1</v>
      </c>
      <c r="B1690" t="str">
        <f>"Folha Mensal"</f>
        <v>Folha Mensal</v>
      </c>
      <c r="C1690" t="str">
        <f>"Rafael Carvalho dos Santos"</f>
        <v>Rafael Carvalho dos Santos</v>
      </c>
      <c r="D1690" t="str">
        <f>"DAS 05"</f>
        <v>DAS 05</v>
      </c>
      <c r="E1690" t="str">
        <f>"Comissionado"</f>
        <v>Comissionado</v>
      </c>
      <c r="F1690" t="str">
        <f>"R$ 2.025,00"</f>
        <v>R$ 2.025,00</v>
      </c>
      <c r="G1690" t="str">
        <f>"R$ 2.025,00"</f>
        <v>R$ 2.025,00</v>
      </c>
      <c r="H1690" t="str">
        <f t="shared" si="166"/>
        <v>R$ 0,00</v>
      </c>
      <c r="I1690" t="str">
        <f>"R$ 2.025,00"</f>
        <v>R$ 2.025,00</v>
      </c>
      <c r="J1690" t="str">
        <f>"R$ 165,75"</f>
        <v>R$ 165,75</v>
      </c>
      <c r="K1690" t="str">
        <f>"R$ 1.859,25"</f>
        <v>R$ 1.859,25</v>
      </c>
    </row>
    <row r="1691" spans="1:11" x14ac:dyDescent="0.25">
      <c r="A1691" t="str">
        <f>"03641392 / 1"</f>
        <v>03641392 / 1</v>
      </c>
      <c r="B1691" t="str">
        <f>"13° Salário Anual"</f>
        <v>13° Salário Anual</v>
      </c>
      <c r="C1691" t="str">
        <f>"Rafaela da Silva Matos"</f>
        <v>Rafaela da Silva Matos</v>
      </c>
      <c r="D1691" t="str">
        <f>"DAS 05"</f>
        <v>DAS 05</v>
      </c>
      <c r="E1691" t="str">
        <f>"Comissionado"</f>
        <v>Comissionado</v>
      </c>
      <c r="F1691" t="str">
        <f>"R$ 2.025,00"</f>
        <v>R$ 2.025,00</v>
      </c>
      <c r="G1691" t="str">
        <f>"R$ 1.012,50"</f>
        <v>R$ 1.012,50</v>
      </c>
      <c r="H1691" t="str">
        <f t="shared" si="166"/>
        <v>R$ 0,00</v>
      </c>
      <c r="I1691" t="str">
        <f>"R$ 1.012,50"</f>
        <v>R$ 1.012,50</v>
      </c>
      <c r="J1691" t="str">
        <f>"R$ 582,18"</f>
        <v>R$ 582,18</v>
      </c>
      <c r="K1691" t="str">
        <f>"R$ 430,32"</f>
        <v>R$ 430,32</v>
      </c>
    </row>
    <row r="1692" spans="1:11" x14ac:dyDescent="0.25">
      <c r="A1692" t="str">
        <f>"03641392 / 1"</f>
        <v>03641392 / 1</v>
      </c>
      <c r="B1692" t="str">
        <f>"Folha Mensal"</f>
        <v>Folha Mensal</v>
      </c>
      <c r="C1692" t="str">
        <f>"Rafaela da Silva Matos"</f>
        <v>Rafaela da Silva Matos</v>
      </c>
      <c r="D1692" t="str">
        <f>"DAS 05"</f>
        <v>DAS 05</v>
      </c>
      <c r="E1692" t="str">
        <f>"Comissionado"</f>
        <v>Comissionado</v>
      </c>
      <c r="F1692" t="str">
        <f>"R$ 2.025,00"</f>
        <v>R$ 2.025,00</v>
      </c>
      <c r="G1692" t="str">
        <f>"R$ 2.025,00"</f>
        <v>R$ 2.025,00</v>
      </c>
      <c r="H1692" t="str">
        <f>"R$ 288,00"</f>
        <v>R$ 288,00</v>
      </c>
      <c r="I1692" t="str">
        <f>"R$ 2.313,00"</f>
        <v>R$ 2.313,00</v>
      </c>
      <c r="J1692" t="str">
        <f>"R$ 287,25"</f>
        <v>R$ 287,25</v>
      </c>
      <c r="K1692" t="str">
        <f>"R$ 2.025,75"</f>
        <v>R$ 2.025,75</v>
      </c>
    </row>
    <row r="1693" spans="1:11" x14ac:dyDescent="0.25">
      <c r="A1693" t="str">
        <f>"00005959 / 1"</f>
        <v>00005959 / 1</v>
      </c>
      <c r="B1693" t="str">
        <f>"13° Salário Anual"</f>
        <v>13° Salário Anual</v>
      </c>
      <c r="C1693" t="str">
        <f>"Raimunda Adjanira Costa Teixeira"</f>
        <v>Raimunda Adjanira Costa Teixeira</v>
      </c>
      <c r="D1693" t="str">
        <f>"PROP IDADE"</f>
        <v>PROP IDADE</v>
      </c>
      <c r="E1693" t="str">
        <f t="shared" ref="E1693:E1698" si="171">"Efetivo-Inativo I- RJUSM"</f>
        <v>Efetivo-Inativo I- RJUSM</v>
      </c>
      <c r="F1693" t="str">
        <f>"R$ 1.100,00"</f>
        <v>R$ 1.100,00</v>
      </c>
      <c r="G1693" t="str">
        <f>"R$ 1.100,00"</f>
        <v>R$ 1.100,00</v>
      </c>
      <c r="H1693" t="str">
        <f t="shared" ref="H1693:H1724" si="172">"R$ 0,00"</f>
        <v>R$ 0,00</v>
      </c>
      <c r="I1693" t="str">
        <f>"R$ 1.100,00"</f>
        <v>R$ 1.100,00</v>
      </c>
      <c r="J1693" t="str">
        <f>"R$ 550,00"</f>
        <v>R$ 550,00</v>
      </c>
      <c r="K1693" t="str">
        <f>"R$ 550,00"</f>
        <v>R$ 550,00</v>
      </c>
    </row>
    <row r="1694" spans="1:11" x14ac:dyDescent="0.25">
      <c r="A1694" t="str">
        <f>"00005959 / 1"</f>
        <v>00005959 / 1</v>
      </c>
      <c r="B1694" t="str">
        <f>"Folha Mensal"</f>
        <v>Folha Mensal</v>
      </c>
      <c r="C1694" t="str">
        <f>"Raimunda Adjanira Costa Teixeira"</f>
        <v>Raimunda Adjanira Costa Teixeira</v>
      </c>
      <c r="D1694" t="str">
        <f>"PROP IDADE"</f>
        <v>PROP IDADE</v>
      </c>
      <c r="E1694" t="str">
        <f t="shared" si="171"/>
        <v>Efetivo-Inativo I- RJUSM</v>
      </c>
      <c r="F1694" t="str">
        <f>"R$ 1.100,00"</f>
        <v>R$ 1.100,00</v>
      </c>
      <c r="G1694" t="str">
        <f>"R$ 1.100,00"</f>
        <v>R$ 1.100,00</v>
      </c>
      <c r="H1694" t="str">
        <f t="shared" si="172"/>
        <v>R$ 0,00</v>
      </c>
      <c r="I1694" t="str">
        <f>"R$ 1.100,00"</f>
        <v>R$ 1.100,00</v>
      </c>
      <c r="J1694" t="str">
        <f>"R$ 74,35"</f>
        <v>R$ 74,35</v>
      </c>
      <c r="K1694" t="str">
        <f>"R$ 1.025,65"</f>
        <v>R$ 1.025,65</v>
      </c>
    </row>
    <row r="1695" spans="1:11" x14ac:dyDescent="0.25">
      <c r="A1695" t="str">
        <f>"00002364 / 1"</f>
        <v>00002364 / 1</v>
      </c>
      <c r="B1695" t="str">
        <f>"13° Salário Anual"</f>
        <v>13° Salário Anual</v>
      </c>
      <c r="C1695" t="str">
        <f>"Raimunda Anacleta Piedade"</f>
        <v>Raimunda Anacleta Piedade</v>
      </c>
      <c r="D1695" t="str">
        <f>"PROFESSOR"</f>
        <v>PROFESSOR</v>
      </c>
      <c r="E1695" t="str">
        <f t="shared" si="171"/>
        <v>Efetivo-Inativo I- RJUSM</v>
      </c>
      <c r="F1695" t="str">
        <f>"R$ 2.071,51"</f>
        <v>R$ 2.071,51</v>
      </c>
      <c r="G1695" t="str">
        <f>"R$ 2.589,38"</f>
        <v>R$ 2.589,38</v>
      </c>
      <c r="H1695" t="str">
        <f t="shared" si="172"/>
        <v>R$ 0,00</v>
      </c>
      <c r="I1695" t="str">
        <f>"R$ 2.589,38"</f>
        <v>R$ 2.589,38</v>
      </c>
      <c r="J1695" t="str">
        <f>"R$ 1.294,69"</f>
        <v>R$ 1.294,69</v>
      </c>
      <c r="K1695" t="str">
        <f>"R$ 1.294,69"</f>
        <v>R$ 1.294,69</v>
      </c>
    </row>
    <row r="1696" spans="1:11" x14ac:dyDescent="0.25">
      <c r="A1696" t="str">
        <f>"00002364 / 1"</f>
        <v>00002364 / 1</v>
      </c>
      <c r="B1696" t="str">
        <f>"Folha Mensal"</f>
        <v>Folha Mensal</v>
      </c>
      <c r="C1696" t="str">
        <f>"Raimunda Anacleta Piedade"</f>
        <v>Raimunda Anacleta Piedade</v>
      </c>
      <c r="D1696" t="str">
        <f>"PROFESSOR"</f>
        <v>PROFESSOR</v>
      </c>
      <c r="E1696" t="str">
        <f t="shared" si="171"/>
        <v>Efetivo-Inativo I- RJUSM</v>
      </c>
      <c r="F1696" t="str">
        <f>"R$ 2.071,51"</f>
        <v>R$ 2.071,51</v>
      </c>
      <c r="G1696" t="str">
        <f>"R$ 2.589,38"</f>
        <v>R$ 2.589,38</v>
      </c>
      <c r="H1696" t="str">
        <f t="shared" si="172"/>
        <v>R$ 0,00</v>
      </c>
      <c r="I1696" t="str">
        <f>"R$ 2.589,38"</f>
        <v>R$ 2.589,38</v>
      </c>
      <c r="J1696" t="str">
        <f>"R$ 0,00"</f>
        <v>R$ 0,00</v>
      </c>
      <c r="K1696" t="str">
        <f>"R$ 2.589,38"</f>
        <v>R$ 2.589,38</v>
      </c>
    </row>
    <row r="1697" spans="1:11" x14ac:dyDescent="0.25">
      <c r="A1697" t="str">
        <f>"00002313 / 1"</f>
        <v>00002313 / 1</v>
      </c>
      <c r="B1697" t="str">
        <f>"13° Salário Anual"</f>
        <v>13° Salário Anual</v>
      </c>
      <c r="C1697" t="str">
        <f>"Raimunda Barbosa de Souza"</f>
        <v>Raimunda Barbosa de Souza</v>
      </c>
      <c r="D1697" t="str">
        <f>"PROFESSOR"</f>
        <v>PROFESSOR</v>
      </c>
      <c r="E1697" t="str">
        <f t="shared" si="171"/>
        <v>Efetivo-Inativo I- RJUSM</v>
      </c>
      <c r="F1697" t="str">
        <f>"R$ 1.593,46"</f>
        <v>R$ 1.593,46</v>
      </c>
      <c r="G1697" t="str">
        <f>"R$ 1.991,82"</f>
        <v>R$ 1.991,82</v>
      </c>
      <c r="H1697" t="str">
        <f t="shared" si="172"/>
        <v>R$ 0,00</v>
      </c>
      <c r="I1697" t="str">
        <f>"R$ 1.991,82"</f>
        <v>R$ 1.991,82</v>
      </c>
      <c r="J1697" t="str">
        <f>"R$ 995,91"</f>
        <v>R$ 995,91</v>
      </c>
      <c r="K1697" t="str">
        <f>"R$ 995,91"</f>
        <v>R$ 995,91</v>
      </c>
    </row>
    <row r="1698" spans="1:11" x14ac:dyDescent="0.25">
      <c r="A1698" t="str">
        <f>"00002313 / 1"</f>
        <v>00002313 / 1</v>
      </c>
      <c r="B1698" t="str">
        <f>"Folha Mensal"</f>
        <v>Folha Mensal</v>
      </c>
      <c r="C1698" t="str">
        <f>"Raimunda Barbosa de Souza"</f>
        <v>Raimunda Barbosa de Souza</v>
      </c>
      <c r="D1698" t="str">
        <f>"PROFESSOR"</f>
        <v>PROFESSOR</v>
      </c>
      <c r="E1698" t="str">
        <f t="shared" si="171"/>
        <v>Efetivo-Inativo I- RJUSM</v>
      </c>
      <c r="F1698" t="str">
        <f>"R$ 1.593,46"</f>
        <v>R$ 1.593,46</v>
      </c>
      <c r="G1698" t="str">
        <f>"R$ 1.991,82"</f>
        <v>R$ 1.991,82</v>
      </c>
      <c r="H1698" t="str">
        <f t="shared" si="172"/>
        <v>R$ 0,00</v>
      </c>
      <c r="I1698" t="str">
        <f>"R$ 1.991,82"</f>
        <v>R$ 1.991,82</v>
      </c>
      <c r="J1698" t="str">
        <f>"R$ 464,05"</f>
        <v>R$ 464,05</v>
      </c>
      <c r="K1698" t="str">
        <f>"R$ 1.527,77"</f>
        <v>R$ 1.527,77</v>
      </c>
    </row>
    <row r="1699" spans="1:11" x14ac:dyDescent="0.25">
      <c r="A1699" t="str">
        <f>"00033936 / 2"</f>
        <v>00033936 / 2</v>
      </c>
      <c r="B1699" t="str">
        <f>"13° Salário Anual"</f>
        <v>13° Salário Anual</v>
      </c>
      <c r="C1699" t="str">
        <f>"Raimunda Cavalcante da Silva"</f>
        <v>Raimunda Cavalcante da Silva</v>
      </c>
      <c r="D1699" t="str">
        <f>"AUXILIAR MUNICIPAL"</f>
        <v>AUXILIAR MUNICIPAL</v>
      </c>
      <c r="E1699" t="str">
        <f>"Efetivo-Inativos II-RJUSM"</f>
        <v>Efetivo-Inativos II-RJUSM</v>
      </c>
      <c r="F1699" t="str">
        <f t="shared" ref="F1699:F1704" si="173">"R$ 1.100,00"</f>
        <v>R$ 1.100,00</v>
      </c>
      <c r="G1699" t="str">
        <f>"R$ 1.430,00"</f>
        <v>R$ 1.430,00</v>
      </c>
      <c r="H1699" t="str">
        <f t="shared" si="172"/>
        <v>R$ 0,00</v>
      </c>
      <c r="I1699" t="str">
        <f>"R$ 1.430,00"</f>
        <v>R$ 1.430,00</v>
      </c>
      <c r="J1699" t="str">
        <f>"R$ 715,00"</f>
        <v>R$ 715,00</v>
      </c>
      <c r="K1699" t="str">
        <f>"R$ 715,00"</f>
        <v>R$ 715,00</v>
      </c>
    </row>
    <row r="1700" spans="1:11" x14ac:dyDescent="0.25">
      <c r="A1700" t="str">
        <f>"00033936 / 2"</f>
        <v>00033936 / 2</v>
      </c>
      <c r="B1700" t="str">
        <f>"Folha Mensal"</f>
        <v>Folha Mensal</v>
      </c>
      <c r="C1700" t="str">
        <f>"Raimunda Cavalcante da Silva"</f>
        <v>Raimunda Cavalcante da Silva</v>
      </c>
      <c r="D1700" t="str">
        <f>"AUXILIAR MUNICIPAL"</f>
        <v>AUXILIAR MUNICIPAL</v>
      </c>
      <c r="E1700" t="str">
        <f>"Efetivo-Inativos II-RJUSM"</f>
        <v>Efetivo-Inativos II-RJUSM</v>
      </c>
      <c r="F1700" t="str">
        <f t="shared" si="173"/>
        <v>R$ 1.100,00</v>
      </c>
      <c r="G1700" t="str">
        <f>"R$ 1.430,00"</f>
        <v>R$ 1.430,00</v>
      </c>
      <c r="H1700" t="str">
        <f t="shared" si="172"/>
        <v>R$ 0,00</v>
      </c>
      <c r="I1700" t="str">
        <f>"R$ 1.430,00"</f>
        <v>R$ 1.430,00</v>
      </c>
      <c r="J1700" t="str">
        <f>"R$ 274,65"</f>
        <v>R$ 274,65</v>
      </c>
      <c r="K1700" t="str">
        <f>"R$ 1.155,35"</f>
        <v>R$ 1.155,35</v>
      </c>
    </row>
    <row r="1701" spans="1:11" x14ac:dyDescent="0.25">
      <c r="A1701" t="str">
        <f>"00030384 / 1"</f>
        <v>00030384 / 1</v>
      </c>
      <c r="B1701" t="str">
        <f>"13° Salário Anual"</f>
        <v>13° Salário Anual</v>
      </c>
      <c r="C1701" t="str">
        <f>"Raimunda Coutinho da Silva"</f>
        <v>Raimunda Coutinho da Silva</v>
      </c>
      <c r="D1701" t="str">
        <f>"PROP IDADE"</f>
        <v>PROP IDADE</v>
      </c>
      <c r="E1701" t="str">
        <f t="shared" ref="E1701:E1710" si="174">"Efetivo-Inativo I- RJUSM"</f>
        <v>Efetivo-Inativo I- RJUSM</v>
      </c>
      <c r="F1701" t="str">
        <f t="shared" si="173"/>
        <v>R$ 1.100,00</v>
      </c>
      <c r="G1701" t="str">
        <f>"R$ 1.100,00"</f>
        <v>R$ 1.100,00</v>
      </c>
      <c r="H1701" t="str">
        <f t="shared" si="172"/>
        <v>R$ 0,00</v>
      </c>
      <c r="I1701" t="str">
        <f>"R$ 1.100,00"</f>
        <v>R$ 1.100,00</v>
      </c>
      <c r="J1701" t="str">
        <f>"R$ 550,00"</f>
        <v>R$ 550,00</v>
      </c>
      <c r="K1701" t="str">
        <f>"R$ 550,00"</f>
        <v>R$ 550,00</v>
      </c>
    </row>
    <row r="1702" spans="1:11" x14ac:dyDescent="0.25">
      <c r="A1702" t="str">
        <f>"00030384 / 1"</f>
        <v>00030384 / 1</v>
      </c>
      <c r="B1702" t="str">
        <f>"Folha Mensal"</f>
        <v>Folha Mensal</v>
      </c>
      <c r="C1702" t="str">
        <f>"Raimunda Coutinho da Silva"</f>
        <v>Raimunda Coutinho da Silva</v>
      </c>
      <c r="D1702" t="str">
        <f>"PROP IDADE"</f>
        <v>PROP IDADE</v>
      </c>
      <c r="E1702" t="str">
        <f t="shared" si="174"/>
        <v>Efetivo-Inativo I- RJUSM</v>
      </c>
      <c r="F1702" t="str">
        <f t="shared" si="173"/>
        <v>R$ 1.100,00</v>
      </c>
      <c r="G1702" t="str">
        <f>"R$ 1.100,00"</f>
        <v>R$ 1.100,00</v>
      </c>
      <c r="H1702" t="str">
        <f t="shared" si="172"/>
        <v>R$ 0,00</v>
      </c>
      <c r="I1702" t="str">
        <f>"R$ 1.100,00"</f>
        <v>R$ 1.100,00</v>
      </c>
      <c r="J1702" t="str">
        <f>"R$ 371,68"</f>
        <v>R$ 371,68</v>
      </c>
      <c r="K1702" t="str">
        <f>"R$ 728,32"</f>
        <v>R$ 728,32</v>
      </c>
    </row>
    <row r="1703" spans="1:11" x14ac:dyDescent="0.25">
      <c r="A1703" t="str">
        <f>"00024597 / 1"</f>
        <v>00024597 / 1</v>
      </c>
      <c r="B1703" t="str">
        <f>"13° Salário Anual"</f>
        <v>13° Salário Anual</v>
      </c>
      <c r="C1703" t="str">
        <f>"Raimunda Creuza Correa da Silva"</f>
        <v>Raimunda Creuza Correa da Silva</v>
      </c>
      <c r="D1703" t="str">
        <f>"PROP IDADE"</f>
        <v>PROP IDADE</v>
      </c>
      <c r="E1703" t="str">
        <f t="shared" si="174"/>
        <v>Efetivo-Inativo I- RJUSM</v>
      </c>
      <c r="F1703" t="str">
        <f t="shared" si="173"/>
        <v>R$ 1.100,00</v>
      </c>
      <c r="G1703" t="str">
        <f>"R$ 1.100,00"</f>
        <v>R$ 1.100,00</v>
      </c>
      <c r="H1703" t="str">
        <f t="shared" si="172"/>
        <v>R$ 0,00</v>
      </c>
      <c r="I1703" t="str">
        <f>"R$ 1.100,00"</f>
        <v>R$ 1.100,00</v>
      </c>
      <c r="J1703" t="str">
        <f>"R$ 550,00"</f>
        <v>R$ 550,00</v>
      </c>
      <c r="K1703" t="str">
        <f>"R$ 550,00"</f>
        <v>R$ 550,00</v>
      </c>
    </row>
    <row r="1704" spans="1:11" x14ac:dyDescent="0.25">
      <c r="A1704" t="str">
        <f>"00024597 / 1"</f>
        <v>00024597 / 1</v>
      </c>
      <c r="B1704" t="str">
        <f>"Folha Mensal"</f>
        <v>Folha Mensal</v>
      </c>
      <c r="C1704" t="str">
        <f>"Raimunda Creuza Correa da Silva"</f>
        <v>Raimunda Creuza Correa da Silva</v>
      </c>
      <c r="D1704" t="str">
        <f>"PROP IDADE"</f>
        <v>PROP IDADE</v>
      </c>
      <c r="E1704" t="str">
        <f t="shared" si="174"/>
        <v>Efetivo-Inativo I- RJUSM</v>
      </c>
      <c r="F1704" t="str">
        <f t="shared" si="173"/>
        <v>R$ 1.100,00</v>
      </c>
      <c r="G1704" t="str">
        <f>"R$ 1.100,00"</f>
        <v>R$ 1.100,00</v>
      </c>
      <c r="H1704" t="str">
        <f t="shared" si="172"/>
        <v>R$ 0,00</v>
      </c>
      <c r="I1704" t="str">
        <f>"R$ 1.100,00"</f>
        <v>R$ 1.100,00</v>
      </c>
      <c r="J1704" t="str">
        <f>"R$ 0,00"</f>
        <v>R$ 0,00</v>
      </c>
      <c r="K1704" t="str">
        <f>"R$ 1.100,00"</f>
        <v>R$ 1.100,00</v>
      </c>
    </row>
    <row r="1705" spans="1:11" x14ac:dyDescent="0.25">
      <c r="A1705" t="str">
        <f>"00007676 / 1"</f>
        <v>00007676 / 1</v>
      </c>
      <c r="B1705" t="str">
        <f>"13° Salário Anual"</f>
        <v>13° Salário Anual</v>
      </c>
      <c r="C1705" t="str">
        <f>"Raimunda da Silva Cunha"</f>
        <v>Raimunda da Silva Cunha</v>
      </c>
      <c r="D1705" t="str">
        <f>"PEDAGOGO NIVEL III"</f>
        <v>PEDAGOGO NIVEL III</v>
      </c>
      <c r="E1705" t="str">
        <f t="shared" si="174"/>
        <v>Efetivo-Inativo I- RJUSM</v>
      </c>
      <c r="F1705" t="str">
        <f>"R$ 3.128,98"</f>
        <v>R$ 3.128,98</v>
      </c>
      <c r="G1705" t="str">
        <f>"R$ 3.911,22"</f>
        <v>R$ 3.911,22</v>
      </c>
      <c r="H1705" t="str">
        <f t="shared" si="172"/>
        <v>R$ 0,00</v>
      </c>
      <c r="I1705" t="str">
        <f>"R$ 3.911,22"</f>
        <v>R$ 3.911,22</v>
      </c>
      <c r="J1705" t="str">
        <f>"R$ 1.955,61"</f>
        <v>R$ 1.955,61</v>
      </c>
      <c r="K1705" t="str">
        <f>"R$ 1.955,61"</f>
        <v>R$ 1.955,61</v>
      </c>
    </row>
    <row r="1706" spans="1:11" x14ac:dyDescent="0.25">
      <c r="A1706" t="str">
        <f>"00007676 / 1"</f>
        <v>00007676 / 1</v>
      </c>
      <c r="B1706" t="str">
        <f>"Folha Mensal"</f>
        <v>Folha Mensal</v>
      </c>
      <c r="C1706" t="str">
        <f>"Raimunda da Silva Cunha"</f>
        <v>Raimunda da Silva Cunha</v>
      </c>
      <c r="D1706" t="str">
        <f>"PEDAGOGO NIVEL III"</f>
        <v>PEDAGOGO NIVEL III</v>
      </c>
      <c r="E1706" t="str">
        <f t="shared" si="174"/>
        <v>Efetivo-Inativo I- RJUSM</v>
      </c>
      <c r="F1706" t="str">
        <f>"R$ 3.128,98"</f>
        <v>R$ 3.128,98</v>
      </c>
      <c r="G1706" t="str">
        <f>"R$ 3.911,22"</f>
        <v>R$ 3.911,22</v>
      </c>
      <c r="H1706" t="str">
        <f t="shared" si="172"/>
        <v>R$ 0,00</v>
      </c>
      <c r="I1706" t="str">
        <f>"R$ 3.911,22"</f>
        <v>R$ 3.911,22</v>
      </c>
      <c r="J1706" t="str">
        <f>"R$ 0,00"</f>
        <v>R$ 0,00</v>
      </c>
      <c r="K1706" t="str">
        <f>"R$ 3.911,22"</f>
        <v>R$ 3.911,22</v>
      </c>
    </row>
    <row r="1707" spans="1:11" x14ac:dyDescent="0.25">
      <c r="A1707" t="str">
        <f>"00010103 / 1"</f>
        <v>00010103 / 1</v>
      </c>
      <c r="B1707" t="str">
        <f>"13° Salário Anual"</f>
        <v>13° Salário Anual</v>
      </c>
      <c r="C1707" t="str">
        <f>"Raimunda de Sousa Macedo"</f>
        <v>Raimunda de Sousa Macedo</v>
      </c>
      <c r="D1707" t="str">
        <f>"PROFESSOR"</f>
        <v>PROFESSOR</v>
      </c>
      <c r="E1707" t="str">
        <f t="shared" si="174"/>
        <v>Efetivo-Inativo I- RJUSM</v>
      </c>
      <c r="F1707" t="str">
        <f>"R$ 1.593,46"</f>
        <v>R$ 1.593,46</v>
      </c>
      <c r="G1707" t="str">
        <f>"R$ 1.912,15"</f>
        <v>R$ 1.912,15</v>
      </c>
      <c r="H1707" t="str">
        <f t="shared" si="172"/>
        <v>R$ 0,00</v>
      </c>
      <c r="I1707" t="str">
        <f>"R$ 1.912,15"</f>
        <v>R$ 1.912,15</v>
      </c>
      <c r="J1707" t="str">
        <f>"R$ 956,07"</f>
        <v>R$ 956,07</v>
      </c>
      <c r="K1707" t="str">
        <f>"R$ 956,08"</f>
        <v>R$ 956,08</v>
      </c>
    </row>
    <row r="1708" spans="1:11" x14ac:dyDescent="0.25">
      <c r="A1708" t="str">
        <f>"00010103 / 1"</f>
        <v>00010103 / 1</v>
      </c>
      <c r="B1708" t="str">
        <f>"Folha Mensal"</f>
        <v>Folha Mensal</v>
      </c>
      <c r="C1708" t="str">
        <f>"Raimunda de Sousa Macedo"</f>
        <v>Raimunda de Sousa Macedo</v>
      </c>
      <c r="D1708" t="str">
        <f>"PROFESSOR"</f>
        <v>PROFESSOR</v>
      </c>
      <c r="E1708" t="str">
        <f t="shared" si="174"/>
        <v>Efetivo-Inativo I- RJUSM</v>
      </c>
      <c r="F1708" t="str">
        <f>"R$ 1.593,46"</f>
        <v>R$ 1.593,46</v>
      </c>
      <c r="G1708" t="str">
        <f>"R$ 1.912,15"</f>
        <v>R$ 1.912,15</v>
      </c>
      <c r="H1708" t="str">
        <f t="shared" si="172"/>
        <v>R$ 0,00</v>
      </c>
      <c r="I1708" t="str">
        <f>"R$ 1.912,15"</f>
        <v>R$ 1.912,15</v>
      </c>
      <c r="J1708" t="str">
        <f>"R$ 549,05"</f>
        <v>R$ 549,05</v>
      </c>
      <c r="K1708" t="str">
        <f>"R$ 1.363,10"</f>
        <v>R$ 1.363,10</v>
      </c>
    </row>
    <row r="1709" spans="1:11" x14ac:dyDescent="0.25">
      <c r="A1709" t="str">
        <f>"00024600 / 1"</f>
        <v>00024600 / 1</v>
      </c>
      <c r="B1709" t="str">
        <f>"13° Salário Anual"</f>
        <v>13° Salário Anual</v>
      </c>
      <c r="C1709" t="str">
        <f>"Raimunda Dionisia Loureiro de Araujo"</f>
        <v>Raimunda Dionisia Loureiro de Araujo</v>
      </c>
      <c r="D1709" t="str">
        <f>"PROP IDADE"</f>
        <v>PROP IDADE</v>
      </c>
      <c r="E1709" t="str">
        <f t="shared" si="174"/>
        <v>Efetivo-Inativo I- RJUSM</v>
      </c>
      <c r="F1709" t="str">
        <f>"R$ 1.100,00"</f>
        <v>R$ 1.100,00</v>
      </c>
      <c r="G1709" t="str">
        <f>"R$ 1.430,00"</f>
        <v>R$ 1.430,00</v>
      </c>
      <c r="H1709" t="str">
        <f t="shared" si="172"/>
        <v>R$ 0,00</v>
      </c>
      <c r="I1709" t="str">
        <f>"R$ 1.430,00"</f>
        <v>R$ 1.430,00</v>
      </c>
      <c r="J1709" t="str">
        <f>"R$ 715,00"</f>
        <v>R$ 715,00</v>
      </c>
      <c r="K1709" t="str">
        <f>"R$ 715,00"</f>
        <v>R$ 715,00</v>
      </c>
    </row>
    <row r="1710" spans="1:11" x14ac:dyDescent="0.25">
      <c r="A1710" t="str">
        <f>"00024600 / 1"</f>
        <v>00024600 / 1</v>
      </c>
      <c r="B1710" t="str">
        <f>"Folha Mensal"</f>
        <v>Folha Mensal</v>
      </c>
      <c r="C1710" t="str">
        <f>"Raimunda Dionisia Loureiro de Araujo"</f>
        <v>Raimunda Dionisia Loureiro de Araujo</v>
      </c>
      <c r="D1710" t="str">
        <f>"PROP IDADE"</f>
        <v>PROP IDADE</v>
      </c>
      <c r="E1710" t="str">
        <f t="shared" si="174"/>
        <v>Efetivo-Inativo I- RJUSM</v>
      </c>
      <c r="F1710" t="str">
        <f>"R$ 1.100,00"</f>
        <v>R$ 1.100,00</v>
      </c>
      <c r="G1710" t="str">
        <f>"R$ 1.430,00"</f>
        <v>R$ 1.430,00</v>
      </c>
      <c r="H1710" t="str">
        <f t="shared" si="172"/>
        <v>R$ 0,00</v>
      </c>
      <c r="I1710" t="str">
        <f>"R$ 1.430,00"</f>
        <v>R$ 1.430,00</v>
      </c>
      <c r="J1710" t="str">
        <f>"R$ 388,96"</f>
        <v>R$ 388,96</v>
      </c>
      <c r="K1710" t="str">
        <f>"R$ 1.041,04"</f>
        <v>R$ 1.041,04</v>
      </c>
    </row>
    <row r="1711" spans="1:11" x14ac:dyDescent="0.25">
      <c r="A1711" t="str">
        <f>"00066141 / 2"</f>
        <v>00066141 / 2</v>
      </c>
      <c r="B1711" t="str">
        <f>"13° Salário Anual"</f>
        <v>13° Salário Anual</v>
      </c>
      <c r="C1711" t="str">
        <f>"Raimunda do Carmo da Costa Cardoso"</f>
        <v>Raimunda do Carmo da Costa Cardoso</v>
      </c>
      <c r="D1711" t="str">
        <f>"PROP INVALIDEZ"</f>
        <v>PROP INVALIDEZ</v>
      </c>
      <c r="E1711" t="str">
        <f>"Efetivo-Inativos II-RJUSM"</f>
        <v>Efetivo-Inativos II-RJUSM</v>
      </c>
      <c r="F1711" t="str">
        <f>"R$ 4.939,76"</f>
        <v>R$ 4.939,76</v>
      </c>
      <c r="G1711" t="str">
        <f>"R$ 5.680,72"</f>
        <v>R$ 5.680,72</v>
      </c>
      <c r="H1711" t="str">
        <f t="shared" si="172"/>
        <v>R$ 0,00</v>
      </c>
      <c r="I1711" t="str">
        <f>"R$ 5.680,72"</f>
        <v>R$ 5.680,72</v>
      </c>
      <c r="J1711" t="str">
        <f>"R$ 2.840,36"</f>
        <v>R$ 2.840,36</v>
      </c>
      <c r="K1711" t="str">
        <f>"R$ 2.840,36"</f>
        <v>R$ 2.840,36</v>
      </c>
    </row>
    <row r="1712" spans="1:11" x14ac:dyDescent="0.25">
      <c r="A1712" t="str">
        <f>"00066141 / 2"</f>
        <v>00066141 / 2</v>
      </c>
      <c r="B1712" t="str">
        <f>"Folha Mensal"</f>
        <v>Folha Mensal</v>
      </c>
      <c r="C1712" t="str">
        <f>"Raimunda do Carmo da Costa Cardoso"</f>
        <v>Raimunda do Carmo da Costa Cardoso</v>
      </c>
      <c r="D1712" t="str">
        <f>"PROP INVALIDEZ"</f>
        <v>PROP INVALIDEZ</v>
      </c>
      <c r="E1712" t="str">
        <f>"Efetivo-Inativos II-RJUSM"</f>
        <v>Efetivo-Inativos II-RJUSM</v>
      </c>
      <c r="F1712" t="str">
        <f>"R$ 4.939,76"</f>
        <v>R$ 4.939,76</v>
      </c>
      <c r="G1712" t="str">
        <f>"R$ 5.680,72"</f>
        <v>R$ 5.680,72</v>
      </c>
      <c r="H1712" t="str">
        <f t="shared" si="172"/>
        <v>R$ 0,00</v>
      </c>
      <c r="I1712" t="str">
        <f>"R$ 5.680,72"</f>
        <v>R$ 5.680,72</v>
      </c>
      <c r="J1712" t="str">
        <f>"R$ 1.663,70"</f>
        <v>R$ 1.663,70</v>
      </c>
      <c r="K1712" t="str">
        <f>"R$ 4.017,02"</f>
        <v>R$ 4.017,02</v>
      </c>
    </row>
    <row r="1713" spans="1:11" x14ac:dyDescent="0.25">
      <c r="A1713" t="str">
        <f>"00002283 / 1"</f>
        <v>00002283 / 1</v>
      </c>
      <c r="B1713" t="str">
        <f>"13° Salário Anual"</f>
        <v>13° Salário Anual</v>
      </c>
      <c r="C1713" t="str">
        <f>"Raimunda dos Santos Caripunas"</f>
        <v>Raimunda dos Santos Caripunas</v>
      </c>
      <c r="D1713" t="str">
        <f>"PROFESSOR"</f>
        <v>PROFESSOR</v>
      </c>
      <c r="E1713" t="str">
        <f>"Efetivo-Inativo I- RJUSM"</f>
        <v>Efetivo-Inativo I- RJUSM</v>
      </c>
      <c r="F1713" t="str">
        <f>"R$ 1.593,46"</f>
        <v>R$ 1.593,46</v>
      </c>
      <c r="G1713" t="str">
        <f>"R$ 1.991,82"</f>
        <v>R$ 1.991,82</v>
      </c>
      <c r="H1713" t="str">
        <f t="shared" si="172"/>
        <v>R$ 0,00</v>
      </c>
      <c r="I1713" t="str">
        <f>"R$ 1.991,82"</f>
        <v>R$ 1.991,82</v>
      </c>
      <c r="J1713" t="str">
        <f>"R$ 995,91"</f>
        <v>R$ 995,91</v>
      </c>
      <c r="K1713" t="str">
        <f>"R$ 995,91"</f>
        <v>R$ 995,91</v>
      </c>
    </row>
    <row r="1714" spans="1:11" x14ac:dyDescent="0.25">
      <c r="A1714" t="str">
        <f>"00002283 / 1"</f>
        <v>00002283 / 1</v>
      </c>
      <c r="B1714" t="str">
        <f>"Folha Mensal"</f>
        <v>Folha Mensal</v>
      </c>
      <c r="C1714" t="str">
        <f>"Raimunda dos Santos Caripunas"</f>
        <v>Raimunda dos Santos Caripunas</v>
      </c>
      <c r="D1714" t="str">
        <f>"PROFESSOR"</f>
        <v>PROFESSOR</v>
      </c>
      <c r="E1714" t="str">
        <f>"Efetivo-Inativo I- RJUSM"</f>
        <v>Efetivo-Inativo I- RJUSM</v>
      </c>
      <c r="F1714" t="str">
        <f>"R$ 1.593,46"</f>
        <v>R$ 1.593,46</v>
      </c>
      <c r="G1714" t="str">
        <f>"R$ 1.991,82"</f>
        <v>R$ 1.991,82</v>
      </c>
      <c r="H1714" t="str">
        <f t="shared" si="172"/>
        <v>R$ 0,00</v>
      </c>
      <c r="I1714" t="str">
        <f>"R$ 1.991,82"</f>
        <v>R$ 1.991,82</v>
      </c>
      <c r="J1714" t="str">
        <f>"R$ 605,88"</f>
        <v>R$ 605,88</v>
      </c>
      <c r="K1714" t="str">
        <f>"R$ 1.385,94"</f>
        <v>R$ 1.385,94</v>
      </c>
    </row>
    <row r="1715" spans="1:11" x14ac:dyDescent="0.25">
      <c r="A1715" t="str">
        <f>"00001325 / 2"</f>
        <v>00001325 / 2</v>
      </c>
      <c r="B1715" t="str">
        <f>"13° Salário Anual"</f>
        <v>13° Salário Anual</v>
      </c>
      <c r="C1715" t="str">
        <f>"Raimunda Dulcinea da Silva Palheta"</f>
        <v>Raimunda Dulcinea da Silva Palheta</v>
      </c>
      <c r="D1715" t="str">
        <f>"PROFESSOR NIVEL I"</f>
        <v>PROFESSOR NIVEL I</v>
      </c>
      <c r="E1715" t="str">
        <f>"Efetivo-Inativos II-RJUSM"</f>
        <v>Efetivo-Inativos II-RJUSM</v>
      </c>
      <c r="F1715" t="str">
        <f>"R$ 3.983,67"</f>
        <v>R$ 3.983,67</v>
      </c>
      <c r="G1715" t="str">
        <f>"R$ 5.178,77"</f>
        <v>R$ 5.178,77</v>
      </c>
      <c r="H1715" t="str">
        <f t="shared" si="172"/>
        <v>R$ 0,00</v>
      </c>
      <c r="I1715" t="str">
        <f>"R$ 5.178,77"</f>
        <v>R$ 5.178,77</v>
      </c>
      <c r="J1715" t="str">
        <f>"R$ 2.589,38"</f>
        <v>R$ 2.589,38</v>
      </c>
      <c r="K1715" t="str">
        <f>"R$ 2.589,39"</f>
        <v>R$ 2.589,39</v>
      </c>
    </row>
    <row r="1716" spans="1:11" x14ac:dyDescent="0.25">
      <c r="A1716" t="str">
        <f>"00001325 / 2"</f>
        <v>00001325 / 2</v>
      </c>
      <c r="B1716" t="str">
        <f>"Folha Mensal"</f>
        <v>Folha Mensal</v>
      </c>
      <c r="C1716" t="str">
        <f>"Raimunda Dulcinea da Silva Palheta"</f>
        <v>Raimunda Dulcinea da Silva Palheta</v>
      </c>
      <c r="D1716" t="str">
        <f>"PROFESSOR NIVEL I"</f>
        <v>PROFESSOR NIVEL I</v>
      </c>
      <c r="E1716" t="str">
        <f>"Efetivo-Inativos II-RJUSM"</f>
        <v>Efetivo-Inativos II-RJUSM</v>
      </c>
      <c r="F1716" t="str">
        <f>"R$ 3.983,67"</f>
        <v>R$ 3.983,67</v>
      </c>
      <c r="G1716" t="str">
        <f>"R$ 5.178,77"</f>
        <v>R$ 5.178,77</v>
      </c>
      <c r="H1716" t="str">
        <f t="shared" si="172"/>
        <v>R$ 0,00</v>
      </c>
      <c r="I1716" t="str">
        <f>"R$ 5.178,77"</f>
        <v>R$ 5.178,77</v>
      </c>
      <c r="J1716" t="str">
        <f>"R$ 0,00"</f>
        <v>R$ 0,00</v>
      </c>
      <c r="K1716" t="str">
        <f>"R$ 5.178,77"</f>
        <v>R$ 5.178,77</v>
      </c>
    </row>
    <row r="1717" spans="1:11" x14ac:dyDescent="0.25">
      <c r="A1717" t="str">
        <f>"00337560 / 2"</f>
        <v>00337560 / 2</v>
      </c>
      <c r="B1717" t="str">
        <f>"13° Salário Anual"</f>
        <v>13° Salário Anual</v>
      </c>
      <c r="C1717" t="str">
        <f>"Raimunda Edinea Andrade Alves"</f>
        <v>Raimunda Edinea Andrade Alves</v>
      </c>
      <c r="D1717" t="str">
        <f>"DAS 08"</f>
        <v>DAS 08</v>
      </c>
      <c r="E1717" t="str">
        <f>"Comissionado"</f>
        <v>Comissionado</v>
      </c>
      <c r="F1717" t="str">
        <f>"R$ 4.200,00"</f>
        <v>R$ 4.200,00</v>
      </c>
      <c r="G1717" t="str">
        <f>"R$ 4.200,00"</f>
        <v>R$ 4.200,00</v>
      </c>
      <c r="H1717" t="str">
        <f t="shared" si="172"/>
        <v>R$ 0,00</v>
      </c>
      <c r="I1717" t="str">
        <f>"R$ 4.200,00"</f>
        <v>R$ 4.200,00</v>
      </c>
      <c r="J1717" t="str">
        <f>"R$ 2.749,30"</f>
        <v>R$ 2.749,30</v>
      </c>
      <c r="K1717" t="str">
        <f>"R$ 1.450,70"</f>
        <v>R$ 1.450,70</v>
      </c>
    </row>
    <row r="1718" spans="1:11" x14ac:dyDescent="0.25">
      <c r="A1718" t="str">
        <f>"00337560 / 2"</f>
        <v>00337560 / 2</v>
      </c>
      <c r="B1718" t="str">
        <f>"Folha Mensal"</f>
        <v>Folha Mensal</v>
      </c>
      <c r="C1718" t="str">
        <f>"Raimunda Edinea Andrade Alves"</f>
        <v>Raimunda Edinea Andrade Alves</v>
      </c>
      <c r="D1718" t="str">
        <f>"DAS 08"</f>
        <v>DAS 08</v>
      </c>
      <c r="E1718" t="str">
        <f>"Comissionado"</f>
        <v>Comissionado</v>
      </c>
      <c r="F1718" t="str">
        <f>"R$ 4.200,00"</f>
        <v>R$ 4.200,00</v>
      </c>
      <c r="G1718" t="str">
        <f>"R$ 4.200,00"</f>
        <v>R$ 4.200,00</v>
      </c>
      <c r="H1718" t="str">
        <f t="shared" si="172"/>
        <v>R$ 0,00</v>
      </c>
      <c r="I1718" t="str">
        <f>"R$ 4.200,00"</f>
        <v>R$ 4.200,00</v>
      </c>
      <c r="J1718" t="str">
        <f>"R$ 649,30"</f>
        <v>R$ 649,30</v>
      </c>
      <c r="K1718" t="str">
        <f>"R$ 3.550,70"</f>
        <v>R$ 3.550,70</v>
      </c>
    </row>
    <row r="1719" spans="1:11" x14ac:dyDescent="0.25">
      <c r="A1719" t="str">
        <f>"00024040 / 1"</f>
        <v>00024040 / 1</v>
      </c>
      <c r="B1719" t="str">
        <f>"13° Salário Anual"</f>
        <v>13° Salário Anual</v>
      </c>
      <c r="C1719" t="str">
        <f>"Raimunda Edna da Silva"</f>
        <v>Raimunda Edna da Silva</v>
      </c>
      <c r="D1719" t="str">
        <f>"PROFESSOR"</f>
        <v>PROFESSOR</v>
      </c>
      <c r="E1719" t="str">
        <f>"Efetivo-Inativo I- RJUSM"</f>
        <v>Efetivo-Inativo I- RJUSM</v>
      </c>
      <c r="F1719" t="str">
        <f>"R$ 2.071,51"</f>
        <v>R$ 2.071,51</v>
      </c>
      <c r="G1719" t="str">
        <f>"R$ 2.589,38"</f>
        <v>R$ 2.589,38</v>
      </c>
      <c r="H1719" t="str">
        <f t="shared" si="172"/>
        <v>R$ 0,00</v>
      </c>
      <c r="I1719" t="str">
        <f>"R$ 2.589,38"</f>
        <v>R$ 2.589,38</v>
      </c>
      <c r="J1719" t="str">
        <f>"R$ 1.346,09"</f>
        <v>R$ 1.346,09</v>
      </c>
      <c r="K1719" t="str">
        <f>"R$ 1.243,29"</f>
        <v>R$ 1.243,29</v>
      </c>
    </row>
    <row r="1720" spans="1:11" x14ac:dyDescent="0.25">
      <c r="A1720" t="str">
        <f>"00024040 / 1"</f>
        <v>00024040 / 1</v>
      </c>
      <c r="B1720" t="str">
        <f>"Folha Mensal"</f>
        <v>Folha Mensal</v>
      </c>
      <c r="C1720" t="str">
        <f>"Raimunda Edna da Silva"</f>
        <v>Raimunda Edna da Silva</v>
      </c>
      <c r="D1720" t="str">
        <f>"PROFESSOR"</f>
        <v>PROFESSOR</v>
      </c>
      <c r="E1720" t="str">
        <f>"Efetivo-Inativo I- RJUSM"</f>
        <v>Efetivo-Inativo I- RJUSM</v>
      </c>
      <c r="F1720" t="str">
        <f>"R$ 2.071,51"</f>
        <v>R$ 2.071,51</v>
      </c>
      <c r="G1720" t="str">
        <f>"R$ 2.589,38"</f>
        <v>R$ 2.589,38</v>
      </c>
      <c r="H1720" t="str">
        <f t="shared" si="172"/>
        <v>R$ 0,00</v>
      </c>
      <c r="I1720" t="str">
        <f>"R$ 2.589,38"</f>
        <v>R$ 2.589,38</v>
      </c>
      <c r="J1720" t="str">
        <f>"R$ 769,05"</f>
        <v>R$ 769,05</v>
      </c>
      <c r="K1720" t="str">
        <f>"R$ 1.820,33"</f>
        <v>R$ 1.820,33</v>
      </c>
    </row>
    <row r="1721" spans="1:11" x14ac:dyDescent="0.25">
      <c r="A1721" t="str">
        <f>"00406252 / 1"</f>
        <v>00406252 / 1</v>
      </c>
      <c r="B1721" t="str">
        <f>"13° Salário Anual"</f>
        <v>13° Salário Anual</v>
      </c>
      <c r="C1721" t="str">
        <f>"Raimunda Ferreira Costa"</f>
        <v>Raimunda Ferreira Costa</v>
      </c>
      <c r="D1721" t="str">
        <f>"PENSIONISTA"</f>
        <v>PENSIONISTA</v>
      </c>
      <c r="E1721" t="str">
        <f>"Pensionista"</f>
        <v>Pensionista</v>
      </c>
      <c r="F1721" t="str">
        <f>"R$ 1.100,00"</f>
        <v>R$ 1.100,00</v>
      </c>
      <c r="G1721" t="str">
        <f>"R$ 1.100,00"</f>
        <v>R$ 1.100,00</v>
      </c>
      <c r="H1721" t="str">
        <f t="shared" si="172"/>
        <v>R$ 0,00</v>
      </c>
      <c r="I1721" t="str">
        <f>"R$ 1.100,00"</f>
        <v>R$ 1.100,00</v>
      </c>
      <c r="J1721" t="str">
        <f>"R$ 550,00"</f>
        <v>R$ 550,00</v>
      </c>
      <c r="K1721" t="str">
        <f>"R$ 550,00"</f>
        <v>R$ 550,00</v>
      </c>
    </row>
    <row r="1722" spans="1:11" x14ac:dyDescent="0.25">
      <c r="A1722" t="str">
        <f>"00406252 / 1"</f>
        <v>00406252 / 1</v>
      </c>
      <c r="B1722" t="str">
        <f>"Folha Mensal"</f>
        <v>Folha Mensal</v>
      </c>
      <c r="C1722" t="str">
        <f>"Raimunda Ferreira Costa"</f>
        <v>Raimunda Ferreira Costa</v>
      </c>
      <c r="D1722" t="str">
        <f>"PENSIONISTA"</f>
        <v>PENSIONISTA</v>
      </c>
      <c r="E1722" t="str">
        <f>"Pensionista"</f>
        <v>Pensionista</v>
      </c>
      <c r="F1722" t="str">
        <f>"R$ 1.100,00"</f>
        <v>R$ 1.100,00</v>
      </c>
      <c r="G1722" t="str">
        <f>"R$ 1.100,00"</f>
        <v>R$ 1.100,00</v>
      </c>
      <c r="H1722" t="str">
        <f t="shared" si="172"/>
        <v>R$ 0,00</v>
      </c>
      <c r="I1722" t="str">
        <f>"R$ 1.100,00"</f>
        <v>R$ 1.100,00</v>
      </c>
      <c r="J1722" t="str">
        <f>"R$ 274,46"</f>
        <v>R$ 274,46</v>
      </c>
      <c r="K1722" t="str">
        <f>"R$ 825,54"</f>
        <v>R$ 825,54</v>
      </c>
    </row>
    <row r="1723" spans="1:11" x14ac:dyDescent="0.25">
      <c r="A1723" t="str">
        <f>"00024341 / 1"</f>
        <v>00024341 / 1</v>
      </c>
      <c r="B1723" t="str">
        <f>"13° Salário Anual"</f>
        <v>13° Salário Anual</v>
      </c>
      <c r="C1723" t="str">
        <f>"Raimunda Iracema Alcantara Cabral"</f>
        <v>Raimunda Iracema Alcantara Cabral</v>
      </c>
      <c r="D1723" t="str">
        <f>"PROFESSOR"</f>
        <v>PROFESSOR</v>
      </c>
      <c r="E1723" t="str">
        <f>"Efetivo-Inativo I- RJUSM"</f>
        <v>Efetivo-Inativo I- RJUSM</v>
      </c>
      <c r="F1723" t="str">
        <f>"R$ 1.593,46"</f>
        <v>R$ 1.593,46</v>
      </c>
      <c r="G1723" t="str">
        <f>"R$ 1.991,82"</f>
        <v>R$ 1.991,82</v>
      </c>
      <c r="H1723" t="str">
        <f t="shared" si="172"/>
        <v>R$ 0,00</v>
      </c>
      <c r="I1723" t="str">
        <f>"R$ 1.991,82"</f>
        <v>R$ 1.991,82</v>
      </c>
      <c r="J1723" t="str">
        <f>"R$ 995,91"</f>
        <v>R$ 995,91</v>
      </c>
      <c r="K1723" t="str">
        <f>"R$ 995,91"</f>
        <v>R$ 995,91</v>
      </c>
    </row>
    <row r="1724" spans="1:11" x14ac:dyDescent="0.25">
      <c r="A1724" t="str">
        <f>"00024341 / 1"</f>
        <v>00024341 / 1</v>
      </c>
      <c r="B1724" t="str">
        <f>"Folha Mensal"</f>
        <v>Folha Mensal</v>
      </c>
      <c r="C1724" t="str">
        <f>"Raimunda Iracema Alcantara Cabral"</f>
        <v>Raimunda Iracema Alcantara Cabral</v>
      </c>
      <c r="D1724" t="str">
        <f>"PROFESSOR"</f>
        <v>PROFESSOR</v>
      </c>
      <c r="E1724" t="str">
        <f>"Efetivo-Inativo I- RJUSM"</f>
        <v>Efetivo-Inativo I- RJUSM</v>
      </c>
      <c r="F1724" t="str">
        <f>"R$ 1.593,46"</f>
        <v>R$ 1.593,46</v>
      </c>
      <c r="G1724" t="str">
        <f>"R$ 1.991,82"</f>
        <v>R$ 1.991,82</v>
      </c>
      <c r="H1724" t="str">
        <f t="shared" si="172"/>
        <v>R$ 0,00</v>
      </c>
      <c r="I1724" t="str">
        <f>"R$ 1.991,82"</f>
        <v>R$ 1.991,82</v>
      </c>
      <c r="J1724" t="str">
        <f>"R$ 513,50"</f>
        <v>R$ 513,50</v>
      </c>
      <c r="K1724" t="str">
        <f>"R$ 1.478,32"</f>
        <v>R$ 1.478,32</v>
      </c>
    </row>
    <row r="1725" spans="1:11" x14ac:dyDescent="0.25">
      <c r="A1725" t="str">
        <f>"00006084 / 1"</f>
        <v>00006084 / 1</v>
      </c>
      <c r="B1725" t="str">
        <f>"13° Salário Anual"</f>
        <v>13° Salário Anual</v>
      </c>
      <c r="C1725" t="str">
        <f>"Raimunda Jerusalem Ramos Brito"</f>
        <v>Raimunda Jerusalem Ramos Brito</v>
      </c>
      <c r="D1725" t="str">
        <f>"PROFESSOR NIVEL II"</f>
        <v>PROFESSOR NIVEL II</v>
      </c>
      <c r="E1725" t="str">
        <f>"Efetivo-Inativo I- RJUSM"</f>
        <v>Efetivo-Inativo I- RJUSM</v>
      </c>
      <c r="F1725" t="str">
        <f>"R$ 2.071,51"</f>
        <v>R$ 2.071,51</v>
      </c>
      <c r="G1725" t="str">
        <f>"R$ 2.589,38"</f>
        <v>R$ 2.589,38</v>
      </c>
      <c r="H1725" t="str">
        <f t="shared" ref="H1725:H1756" si="175">"R$ 0,00"</f>
        <v>R$ 0,00</v>
      </c>
      <c r="I1725" t="str">
        <f>"R$ 2.589,38"</f>
        <v>R$ 2.589,38</v>
      </c>
      <c r="J1725" t="str">
        <f>"R$ 1.331,87"</f>
        <v>R$ 1.331,87</v>
      </c>
      <c r="K1725" t="str">
        <f>"R$ 1.257,51"</f>
        <v>R$ 1.257,51</v>
      </c>
    </row>
    <row r="1726" spans="1:11" x14ac:dyDescent="0.25">
      <c r="A1726" t="str">
        <f>"00006084 / 1"</f>
        <v>00006084 / 1</v>
      </c>
      <c r="B1726" t="str">
        <f>"Folha Mensal"</f>
        <v>Folha Mensal</v>
      </c>
      <c r="C1726" t="str">
        <f>"Raimunda Jerusalem Ramos Brito"</f>
        <v>Raimunda Jerusalem Ramos Brito</v>
      </c>
      <c r="D1726" t="str">
        <f>"PROFESSOR NIVEL II"</f>
        <v>PROFESSOR NIVEL II</v>
      </c>
      <c r="E1726" t="str">
        <f>"Efetivo-Inativo I- RJUSM"</f>
        <v>Efetivo-Inativo I- RJUSM</v>
      </c>
      <c r="F1726" t="str">
        <f>"R$ 2.071,51"</f>
        <v>R$ 2.071,51</v>
      </c>
      <c r="G1726" t="str">
        <f>"R$ 2.589,38"</f>
        <v>R$ 2.589,38</v>
      </c>
      <c r="H1726" t="str">
        <f t="shared" si="175"/>
        <v>R$ 0,00</v>
      </c>
      <c r="I1726" t="str">
        <f>"R$ 2.589,38"</f>
        <v>R$ 2.589,38</v>
      </c>
      <c r="J1726" t="str">
        <f>"R$ 37,18"</f>
        <v>R$ 37,18</v>
      </c>
      <c r="K1726" t="str">
        <f>"R$ 2.552,20"</f>
        <v>R$ 2.552,20</v>
      </c>
    </row>
    <row r="1727" spans="1:11" x14ac:dyDescent="0.25">
      <c r="A1727" t="str">
        <f>"00051748 / 1"</f>
        <v>00051748 / 1</v>
      </c>
      <c r="B1727" t="str">
        <f>"13° Salário Anual"</f>
        <v>13° Salário Anual</v>
      </c>
      <c r="C1727" t="str">
        <f>"Raimunda Julia Delgado da Rocha"</f>
        <v>Raimunda Julia Delgado da Rocha</v>
      </c>
      <c r="D1727" t="str">
        <f>"PROFESSOR NIVEL II"</f>
        <v>PROFESSOR NIVEL II</v>
      </c>
      <c r="E1727" t="str">
        <f>"Efetivo-Inativos II-RJUSM"</f>
        <v>Efetivo-Inativos II-RJUSM</v>
      </c>
      <c r="F1727" t="str">
        <f>"R$ 2.629,21"</f>
        <v>R$ 2.629,21</v>
      </c>
      <c r="G1727" t="str">
        <f>"R$ 3.155,05"</f>
        <v>R$ 3.155,05</v>
      </c>
      <c r="H1727" t="str">
        <f t="shared" si="175"/>
        <v>R$ 0,00</v>
      </c>
      <c r="I1727" t="str">
        <f>"R$ 3.155,05"</f>
        <v>R$ 3.155,05</v>
      </c>
      <c r="J1727" t="str">
        <f>"R$ 1.695,97"</f>
        <v>R$ 1.695,97</v>
      </c>
      <c r="K1727" t="str">
        <f>"R$ 1.459,08"</f>
        <v>R$ 1.459,08</v>
      </c>
    </row>
    <row r="1728" spans="1:11" x14ac:dyDescent="0.25">
      <c r="A1728" t="str">
        <f>"00051748 / 1"</f>
        <v>00051748 / 1</v>
      </c>
      <c r="B1728" t="str">
        <f>"Folha Mensal"</f>
        <v>Folha Mensal</v>
      </c>
      <c r="C1728" t="str">
        <f>"Raimunda Julia Delgado da Rocha"</f>
        <v>Raimunda Julia Delgado da Rocha</v>
      </c>
      <c r="D1728" t="str">
        <f>"PROFESSOR NIVEL II"</f>
        <v>PROFESSOR NIVEL II</v>
      </c>
      <c r="E1728" t="str">
        <f>"Efetivo-Inativos II-RJUSM"</f>
        <v>Efetivo-Inativos II-RJUSM</v>
      </c>
      <c r="F1728" t="str">
        <f>"R$ 2.629,21"</f>
        <v>R$ 2.629,21</v>
      </c>
      <c r="G1728" t="str">
        <f>"R$ 3.155,05"</f>
        <v>R$ 3.155,05</v>
      </c>
      <c r="H1728" t="str">
        <f t="shared" si="175"/>
        <v>R$ 0,00</v>
      </c>
      <c r="I1728" t="str">
        <f>"R$ 3.155,05"</f>
        <v>R$ 3.155,05</v>
      </c>
      <c r="J1728" t="str">
        <f>"R$ 118,45"</f>
        <v>R$ 118,45</v>
      </c>
      <c r="K1728" t="str">
        <f>"R$ 3.036,60"</f>
        <v>R$ 3.036,60</v>
      </c>
    </row>
    <row r="1729" spans="1:11" x14ac:dyDescent="0.25">
      <c r="A1729" t="str">
        <f>"00022454 / 1"</f>
        <v>00022454 / 1</v>
      </c>
      <c r="B1729" t="str">
        <f>"13° Salário Anual"</f>
        <v>13° Salário Anual</v>
      </c>
      <c r="C1729" t="str">
        <f>"Raimunda Lameira Oliveira"</f>
        <v>Raimunda Lameira Oliveira</v>
      </c>
      <c r="D1729" t="str">
        <f>"INT TEMP SERVICO"</f>
        <v>INT TEMP SERVICO</v>
      </c>
      <c r="E1729" t="str">
        <f>"Efetivo-Inativo I- RJUSM"</f>
        <v>Efetivo-Inativo I- RJUSM</v>
      </c>
      <c r="F1729" t="str">
        <f t="shared" ref="F1729:F1734" si="176">"R$ 1.100,00"</f>
        <v>R$ 1.100,00</v>
      </c>
      <c r="G1729" t="str">
        <f>"R$ 1.320,00"</f>
        <v>R$ 1.320,00</v>
      </c>
      <c r="H1729" t="str">
        <f t="shared" si="175"/>
        <v>R$ 0,00</v>
      </c>
      <c r="I1729" t="str">
        <f>"R$ 1.320,00"</f>
        <v>R$ 1.320,00</v>
      </c>
      <c r="J1729" t="str">
        <f>"R$ 660,00"</f>
        <v>R$ 660,00</v>
      </c>
      <c r="K1729" t="str">
        <f>"R$ 660,00"</f>
        <v>R$ 660,00</v>
      </c>
    </row>
    <row r="1730" spans="1:11" x14ac:dyDescent="0.25">
      <c r="A1730" t="str">
        <f>"00022454 / 1"</f>
        <v>00022454 / 1</v>
      </c>
      <c r="B1730" t="str">
        <f>"Folha Mensal"</f>
        <v>Folha Mensal</v>
      </c>
      <c r="C1730" t="str">
        <f>"Raimunda Lameira Oliveira"</f>
        <v>Raimunda Lameira Oliveira</v>
      </c>
      <c r="D1730" t="str">
        <f>"INT TEMP SERVICO"</f>
        <v>INT TEMP SERVICO</v>
      </c>
      <c r="E1730" t="str">
        <f>"Efetivo-Inativo I- RJUSM"</f>
        <v>Efetivo-Inativo I- RJUSM</v>
      </c>
      <c r="F1730" t="str">
        <f t="shared" si="176"/>
        <v>R$ 1.100,00</v>
      </c>
      <c r="G1730" t="str">
        <f>"R$ 1.320,00"</f>
        <v>R$ 1.320,00</v>
      </c>
      <c r="H1730" t="str">
        <f t="shared" si="175"/>
        <v>R$ 0,00</v>
      </c>
      <c r="I1730" t="str">
        <f>"R$ 1.320,00"</f>
        <v>R$ 1.320,00</v>
      </c>
      <c r="J1730" t="str">
        <f>"R$ 279,41"</f>
        <v>R$ 279,41</v>
      </c>
      <c r="K1730" t="str">
        <f>"R$ 1.040,59"</f>
        <v>R$ 1.040,59</v>
      </c>
    </row>
    <row r="1731" spans="1:11" x14ac:dyDescent="0.25">
      <c r="A1731" t="str">
        <f>"00007439 / 1"</f>
        <v>00007439 / 1</v>
      </c>
      <c r="B1731" t="str">
        <f>"13° Salário Anual"</f>
        <v>13° Salário Anual</v>
      </c>
      <c r="C1731" t="str">
        <f>"Raimunda Lima de Oliveira"</f>
        <v>Raimunda Lima de Oliveira</v>
      </c>
      <c r="D1731" t="str">
        <f>"PROP IDADE"</f>
        <v>PROP IDADE</v>
      </c>
      <c r="E1731" t="str">
        <f>"Efetivo-Inativo I- RJUSM"</f>
        <v>Efetivo-Inativo I- RJUSM</v>
      </c>
      <c r="F1731" t="str">
        <f t="shared" si="176"/>
        <v>R$ 1.100,00</v>
      </c>
      <c r="G1731" t="str">
        <f>"R$ 1.100,00"</f>
        <v>R$ 1.100,00</v>
      </c>
      <c r="H1731" t="str">
        <f t="shared" si="175"/>
        <v>R$ 0,00</v>
      </c>
      <c r="I1731" t="str">
        <f>"R$ 1.100,00"</f>
        <v>R$ 1.100,00</v>
      </c>
      <c r="J1731" t="str">
        <f>"R$ 550,00"</f>
        <v>R$ 550,00</v>
      </c>
      <c r="K1731" t="str">
        <f>"R$ 550,00"</f>
        <v>R$ 550,00</v>
      </c>
    </row>
    <row r="1732" spans="1:11" x14ac:dyDescent="0.25">
      <c r="A1732" t="str">
        <f>"00007439 / 1"</f>
        <v>00007439 / 1</v>
      </c>
      <c r="B1732" t="str">
        <f>"Folha Mensal"</f>
        <v>Folha Mensal</v>
      </c>
      <c r="C1732" t="str">
        <f>"Raimunda Lima de Oliveira"</f>
        <v>Raimunda Lima de Oliveira</v>
      </c>
      <c r="D1732" t="str">
        <f>"PROP IDADE"</f>
        <v>PROP IDADE</v>
      </c>
      <c r="E1732" t="str">
        <f>"Efetivo-Inativo I- RJUSM"</f>
        <v>Efetivo-Inativo I- RJUSM</v>
      </c>
      <c r="F1732" t="str">
        <f t="shared" si="176"/>
        <v>R$ 1.100,00</v>
      </c>
      <c r="G1732" t="str">
        <f>"R$ 1.100,00"</f>
        <v>R$ 1.100,00</v>
      </c>
      <c r="H1732" t="str">
        <f t="shared" si="175"/>
        <v>R$ 0,00</v>
      </c>
      <c r="I1732" t="str">
        <f>"R$ 1.100,00"</f>
        <v>R$ 1.100,00</v>
      </c>
      <c r="J1732" t="str">
        <f>"R$ 0,00"</f>
        <v>R$ 0,00</v>
      </c>
      <c r="K1732" t="str">
        <f>"R$ 1.100,00"</f>
        <v>R$ 1.100,00</v>
      </c>
    </row>
    <row r="1733" spans="1:11" x14ac:dyDescent="0.25">
      <c r="A1733" t="str">
        <f>"00032689 / 1"</f>
        <v>00032689 / 1</v>
      </c>
      <c r="B1733" t="str">
        <f>"13° Salário Anual"</f>
        <v>13° Salário Anual</v>
      </c>
      <c r="C1733" t="str">
        <f>"Raimunda Maria Santos Matos"</f>
        <v>Raimunda Maria Santos Matos</v>
      </c>
      <c r="D1733" t="str">
        <f>"INT TEMP CONTRIBUICAO"</f>
        <v>INT TEMP CONTRIBUICAO</v>
      </c>
      <c r="E1733" t="str">
        <f>"Efetivo-Inativos II-RJUSM"</f>
        <v>Efetivo-Inativos II-RJUSM</v>
      </c>
      <c r="F1733" t="str">
        <f t="shared" si="176"/>
        <v>R$ 1.100,00</v>
      </c>
      <c r="G1733" t="str">
        <f>"R$ 1.430,00"</f>
        <v>R$ 1.430,00</v>
      </c>
      <c r="H1733" t="str">
        <f t="shared" si="175"/>
        <v>R$ 0,00</v>
      </c>
      <c r="I1733" t="str">
        <f>"R$ 1.430,00"</f>
        <v>R$ 1.430,00</v>
      </c>
      <c r="J1733" t="str">
        <f>"R$ 715,00"</f>
        <v>R$ 715,00</v>
      </c>
      <c r="K1733" t="str">
        <f>"R$ 715,00"</f>
        <v>R$ 715,00</v>
      </c>
    </row>
    <row r="1734" spans="1:11" x14ac:dyDescent="0.25">
      <c r="A1734" t="str">
        <f>"00032689 / 1"</f>
        <v>00032689 / 1</v>
      </c>
      <c r="B1734" t="str">
        <f>"Folha Mensal"</f>
        <v>Folha Mensal</v>
      </c>
      <c r="C1734" t="str">
        <f>"Raimunda Maria Santos Matos"</f>
        <v>Raimunda Maria Santos Matos</v>
      </c>
      <c r="D1734" t="str">
        <f>"INT TEMP CONTRIBUICAO"</f>
        <v>INT TEMP CONTRIBUICAO</v>
      </c>
      <c r="E1734" t="str">
        <f>"Efetivo-Inativos II-RJUSM"</f>
        <v>Efetivo-Inativos II-RJUSM</v>
      </c>
      <c r="F1734" t="str">
        <f t="shared" si="176"/>
        <v>R$ 1.100,00</v>
      </c>
      <c r="G1734" t="str">
        <f>"R$ 1.430,00"</f>
        <v>R$ 1.430,00</v>
      </c>
      <c r="H1734" t="str">
        <f t="shared" si="175"/>
        <v>R$ 0,00</v>
      </c>
      <c r="I1734" t="str">
        <f>"R$ 1.430,00"</f>
        <v>R$ 1.430,00</v>
      </c>
      <c r="J1734" t="str">
        <f>"R$ 498,06"</f>
        <v>R$ 498,06</v>
      </c>
      <c r="K1734" t="str">
        <f>"R$ 931,94"</f>
        <v>R$ 931,94</v>
      </c>
    </row>
    <row r="1735" spans="1:11" x14ac:dyDescent="0.25">
      <c r="A1735" t="str">
        <f>"00012491 / 1"</f>
        <v>00012491 / 1</v>
      </c>
      <c r="B1735" t="str">
        <f>"13° Salário Anual"</f>
        <v>13° Salário Anual</v>
      </c>
      <c r="C1735" t="str">
        <f>"Raimunda Mesquita Leite"</f>
        <v>Raimunda Mesquita Leite</v>
      </c>
      <c r="D1735" t="str">
        <f>"PROFESSOR"</f>
        <v>PROFESSOR</v>
      </c>
      <c r="E1735" t="str">
        <f>"Efetivo-Inativo I- RJUSM"</f>
        <v>Efetivo-Inativo I- RJUSM</v>
      </c>
      <c r="F1735" t="str">
        <f>"R$ 1.593,46"</f>
        <v>R$ 1.593,46</v>
      </c>
      <c r="G1735" t="str">
        <f>"R$ 1.991,82"</f>
        <v>R$ 1.991,82</v>
      </c>
      <c r="H1735" t="str">
        <f t="shared" si="175"/>
        <v>R$ 0,00</v>
      </c>
      <c r="I1735" t="str">
        <f>"R$ 1.991,82"</f>
        <v>R$ 1.991,82</v>
      </c>
      <c r="J1735" t="str">
        <f>"R$ 995,91"</f>
        <v>R$ 995,91</v>
      </c>
      <c r="K1735" t="str">
        <f>"R$ 995,91"</f>
        <v>R$ 995,91</v>
      </c>
    </row>
    <row r="1736" spans="1:11" x14ac:dyDescent="0.25">
      <c r="A1736" t="str">
        <f>"00012491 / 1"</f>
        <v>00012491 / 1</v>
      </c>
      <c r="B1736" t="str">
        <f>"Folha Mensal"</f>
        <v>Folha Mensal</v>
      </c>
      <c r="C1736" t="str">
        <f>"Raimunda Mesquita Leite"</f>
        <v>Raimunda Mesquita Leite</v>
      </c>
      <c r="D1736" t="str">
        <f>"PROFESSOR"</f>
        <v>PROFESSOR</v>
      </c>
      <c r="E1736" t="str">
        <f>"Efetivo-Inativo I- RJUSM"</f>
        <v>Efetivo-Inativo I- RJUSM</v>
      </c>
      <c r="F1736" t="str">
        <f>"R$ 1.593,46"</f>
        <v>R$ 1.593,46</v>
      </c>
      <c r="G1736" t="str">
        <f>"R$ 1.991,82"</f>
        <v>R$ 1.991,82</v>
      </c>
      <c r="H1736" t="str">
        <f t="shared" si="175"/>
        <v>R$ 0,00</v>
      </c>
      <c r="I1736" t="str">
        <f>"R$ 1.991,82"</f>
        <v>R$ 1.991,82</v>
      </c>
      <c r="J1736" t="str">
        <f>"R$ 590,15"</f>
        <v>R$ 590,15</v>
      </c>
      <c r="K1736" t="str">
        <f>"R$ 1.401,67"</f>
        <v>R$ 1.401,67</v>
      </c>
    </row>
    <row r="1737" spans="1:11" x14ac:dyDescent="0.25">
      <c r="A1737" t="str">
        <f>"00004421 / 1"</f>
        <v>00004421 / 1</v>
      </c>
      <c r="B1737" t="str">
        <f>"13° Salário Anual"</f>
        <v>13° Salário Anual</v>
      </c>
      <c r="C1737" t="str">
        <f>"Raimunda Nazare Leal dos Santos"</f>
        <v>Raimunda Nazare Leal dos Santos</v>
      </c>
      <c r="D1737" t="str">
        <f>"PROP IDADE"</f>
        <v>PROP IDADE</v>
      </c>
      <c r="E1737" t="str">
        <f>"Efetivo-Inativo I- RJUSM"</f>
        <v>Efetivo-Inativo I- RJUSM</v>
      </c>
      <c r="F1737" t="str">
        <f>"R$ 1.100,00"</f>
        <v>R$ 1.100,00</v>
      </c>
      <c r="G1737" t="str">
        <f>"R$ 1.100,00"</f>
        <v>R$ 1.100,00</v>
      </c>
      <c r="H1737" t="str">
        <f t="shared" si="175"/>
        <v>R$ 0,00</v>
      </c>
      <c r="I1737" t="str">
        <f>"R$ 1.100,00"</f>
        <v>R$ 1.100,00</v>
      </c>
      <c r="J1737" t="str">
        <f>"R$ 550,00"</f>
        <v>R$ 550,00</v>
      </c>
      <c r="K1737" t="str">
        <f>"R$ 550,00"</f>
        <v>R$ 550,00</v>
      </c>
    </row>
    <row r="1738" spans="1:11" x14ac:dyDescent="0.25">
      <c r="A1738" t="str">
        <f>"00004421 / 1"</f>
        <v>00004421 / 1</v>
      </c>
      <c r="B1738" t="str">
        <f>"Folha Mensal"</f>
        <v>Folha Mensal</v>
      </c>
      <c r="C1738" t="str">
        <f>"Raimunda Nazare Leal dos Santos"</f>
        <v>Raimunda Nazare Leal dos Santos</v>
      </c>
      <c r="D1738" t="str">
        <f>"PROP IDADE"</f>
        <v>PROP IDADE</v>
      </c>
      <c r="E1738" t="str">
        <f>"Efetivo-Inativo I- RJUSM"</f>
        <v>Efetivo-Inativo I- RJUSM</v>
      </c>
      <c r="F1738" t="str">
        <f>"R$ 1.100,00"</f>
        <v>R$ 1.100,00</v>
      </c>
      <c r="G1738" t="str">
        <f>"R$ 1.100,00"</f>
        <v>R$ 1.100,00</v>
      </c>
      <c r="H1738" t="str">
        <f t="shared" si="175"/>
        <v>R$ 0,00</v>
      </c>
      <c r="I1738" t="str">
        <f>"R$ 1.100,00"</f>
        <v>R$ 1.100,00</v>
      </c>
      <c r="J1738" t="str">
        <f>"R$ 263,37"</f>
        <v>R$ 263,37</v>
      </c>
      <c r="K1738" t="str">
        <f>"R$ 836,63"</f>
        <v>R$ 836,63</v>
      </c>
    </row>
    <row r="1739" spans="1:11" x14ac:dyDescent="0.25">
      <c r="A1739" t="str">
        <f>"00009032 / 1"</f>
        <v>00009032 / 1</v>
      </c>
      <c r="B1739" t="str">
        <f>"13° Salário Anual"</f>
        <v>13° Salário Anual</v>
      </c>
      <c r="C1739" t="str">
        <f>"Raimunda Nonata Aleixo Azeredo"</f>
        <v>Raimunda Nonata Aleixo Azeredo</v>
      </c>
      <c r="D1739" t="str">
        <f>"PROFESSOR NIVEL III"</f>
        <v>PROFESSOR NIVEL III</v>
      </c>
      <c r="E1739" t="str">
        <f>"Efetivo-Inativos II-RJUSM"</f>
        <v>Efetivo-Inativos II-RJUSM</v>
      </c>
      <c r="F1739" t="str">
        <f>"R$ 6.055,17"</f>
        <v>R$ 6.055,17</v>
      </c>
      <c r="G1739" t="str">
        <f>"R$ 12.594,75"</f>
        <v>R$ 12.594,75</v>
      </c>
      <c r="H1739" t="str">
        <f t="shared" si="175"/>
        <v>R$ 0,00</v>
      </c>
      <c r="I1739" t="str">
        <f>"R$ 12.594,75"</f>
        <v>R$ 12.594,75</v>
      </c>
      <c r="J1739" t="str">
        <f>"R$ 9.550,67"</f>
        <v>R$ 9.550,67</v>
      </c>
      <c r="K1739" t="str">
        <f>"R$ 3.044,08"</f>
        <v>R$ 3.044,08</v>
      </c>
    </row>
    <row r="1740" spans="1:11" x14ac:dyDescent="0.25">
      <c r="A1740" t="str">
        <f>"00009032 / 1"</f>
        <v>00009032 / 1</v>
      </c>
      <c r="B1740" t="str">
        <f>"Folha Mensal"</f>
        <v>Folha Mensal</v>
      </c>
      <c r="C1740" t="str">
        <f>"Raimunda Nonata Aleixo Azeredo"</f>
        <v>Raimunda Nonata Aleixo Azeredo</v>
      </c>
      <c r="D1740" t="str">
        <f>"PROFESSOR NIVEL III"</f>
        <v>PROFESSOR NIVEL III</v>
      </c>
      <c r="E1740" t="str">
        <f>"Efetivo-Inativos II-RJUSM"</f>
        <v>Efetivo-Inativos II-RJUSM</v>
      </c>
      <c r="F1740" t="str">
        <f>"R$ 6.055,17"</f>
        <v>R$ 6.055,17</v>
      </c>
      <c r="G1740" t="str">
        <f>"R$ 12.594,75"</f>
        <v>R$ 12.594,75</v>
      </c>
      <c r="H1740" t="str">
        <f t="shared" si="175"/>
        <v>R$ 0,00</v>
      </c>
      <c r="I1740" t="str">
        <f>"R$ 12.594,75"</f>
        <v>R$ 12.594,75</v>
      </c>
      <c r="J1740" t="str">
        <f>"R$ 3.253,30"</f>
        <v>R$ 3.253,30</v>
      </c>
      <c r="K1740" t="str">
        <f>"R$ 9.341,45"</f>
        <v>R$ 9.341,45</v>
      </c>
    </row>
    <row r="1741" spans="1:11" x14ac:dyDescent="0.25">
      <c r="A1741" t="str">
        <f>"00000183 / 1"</f>
        <v>00000183 / 1</v>
      </c>
      <c r="B1741" t="str">
        <f>"13° Salário Anual"</f>
        <v>13° Salário Anual</v>
      </c>
      <c r="C1741" t="str">
        <f>"Raimunda Nonata da Rocha Marques"</f>
        <v>Raimunda Nonata da Rocha Marques</v>
      </c>
      <c r="D1741" t="str">
        <f>"PROFESSOR"</f>
        <v>PROFESSOR</v>
      </c>
      <c r="E1741" t="str">
        <f>"Efetivo-Inativo I- RJUSM"</f>
        <v>Efetivo-Inativo I- RJUSM</v>
      </c>
      <c r="F1741" t="str">
        <f>"R$ 1.593,46"</f>
        <v>R$ 1.593,46</v>
      </c>
      <c r="G1741" t="str">
        <f>"R$ 1.991,82"</f>
        <v>R$ 1.991,82</v>
      </c>
      <c r="H1741" t="str">
        <f t="shared" si="175"/>
        <v>R$ 0,00</v>
      </c>
      <c r="I1741" t="str">
        <f>"R$ 1.991,82"</f>
        <v>R$ 1.991,82</v>
      </c>
      <c r="J1741" t="str">
        <f>"R$ 995,91"</f>
        <v>R$ 995,91</v>
      </c>
      <c r="K1741" t="str">
        <f>"R$ 995,91"</f>
        <v>R$ 995,91</v>
      </c>
    </row>
    <row r="1742" spans="1:11" x14ac:dyDescent="0.25">
      <c r="A1742" t="str">
        <f>"00000183 / 1"</f>
        <v>00000183 / 1</v>
      </c>
      <c r="B1742" t="str">
        <f>"Folha Mensal"</f>
        <v>Folha Mensal</v>
      </c>
      <c r="C1742" t="str">
        <f>"Raimunda Nonata da Rocha Marques"</f>
        <v>Raimunda Nonata da Rocha Marques</v>
      </c>
      <c r="D1742" t="str">
        <f>"PROFESSOR"</f>
        <v>PROFESSOR</v>
      </c>
      <c r="E1742" t="str">
        <f>"Efetivo-Inativo I- RJUSM"</f>
        <v>Efetivo-Inativo I- RJUSM</v>
      </c>
      <c r="F1742" t="str">
        <f>"R$ 1.593,46"</f>
        <v>R$ 1.593,46</v>
      </c>
      <c r="G1742" t="str">
        <f>"R$ 1.991,82"</f>
        <v>R$ 1.991,82</v>
      </c>
      <c r="H1742" t="str">
        <f t="shared" si="175"/>
        <v>R$ 0,00</v>
      </c>
      <c r="I1742" t="str">
        <f>"R$ 1.991,82"</f>
        <v>R$ 1.991,82</v>
      </c>
      <c r="J1742" t="str">
        <f>"R$ 0,00"</f>
        <v>R$ 0,00</v>
      </c>
      <c r="K1742" t="str">
        <f>"R$ 1.991,82"</f>
        <v>R$ 1.991,82</v>
      </c>
    </row>
    <row r="1743" spans="1:11" x14ac:dyDescent="0.25">
      <c r="A1743" t="str">
        <f>"00023531 / 1"</f>
        <v>00023531 / 1</v>
      </c>
      <c r="B1743" t="str">
        <f>"13° Salário Anual"</f>
        <v>13° Salário Anual</v>
      </c>
      <c r="C1743" t="str">
        <f>"Raimunda Nonata Falcao Damasceno"</f>
        <v>Raimunda Nonata Falcao Damasceno</v>
      </c>
      <c r="D1743" t="str">
        <f>"INT TEMP CONTRIBUICAO"</f>
        <v>INT TEMP CONTRIBUICAO</v>
      </c>
      <c r="E1743" t="str">
        <f>"Efetivo-Inativos II-RJUSM"</f>
        <v>Efetivo-Inativos II-RJUSM</v>
      </c>
      <c r="F1743" t="str">
        <f>"R$ 1.100,00"</f>
        <v>R$ 1.100,00</v>
      </c>
      <c r="G1743" t="str">
        <f>"R$ 1.430,00"</f>
        <v>R$ 1.430,00</v>
      </c>
      <c r="H1743" t="str">
        <f t="shared" si="175"/>
        <v>R$ 0,00</v>
      </c>
      <c r="I1743" t="str">
        <f>"R$ 1.430,00"</f>
        <v>R$ 1.430,00</v>
      </c>
      <c r="J1743" t="str">
        <f>"R$ 715,00"</f>
        <v>R$ 715,00</v>
      </c>
      <c r="K1743" t="str">
        <f>"R$ 715,00"</f>
        <v>R$ 715,00</v>
      </c>
    </row>
    <row r="1744" spans="1:11" x14ac:dyDescent="0.25">
      <c r="A1744" t="str">
        <f>"00023531 / 1"</f>
        <v>00023531 / 1</v>
      </c>
      <c r="B1744" t="str">
        <f>"Folha Mensal"</f>
        <v>Folha Mensal</v>
      </c>
      <c r="C1744" t="str">
        <f>"Raimunda Nonata Falcao Damasceno"</f>
        <v>Raimunda Nonata Falcao Damasceno</v>
      </c>
      <c r="D1744" t="str">
        <f>"INT TEMP CONTRIBUICAO"</f>
        <v>INT TEMP CONTRIBUICAO</v>
      </c>
      <c r="E1744" t="str">
        <f>"Efetivo-Inativos II-RJUSM"</f>
        <v>Efetivo-Inativos II-RJUSM</v>
      </c>
      <c r="F1744" t="str">
        <f>"R$ 1.100,00"</f>
        <v>R$ 1.100,00</v>
      </c>
      <c r="G1744" t="str">
        <f>"R$ 1.430,00"</f>
        <v>R$ 1.430,00</v>
      </c>
      <c r="H1744" t="str">
        <f t="shared" si="175"/>
        <v>R$ 0,00</v>
      </c>
      <c r="I1744" t="str">
        <f>"R$ 1.430,00"</f>
        <v>R$ 1.430,00</v>
      </c>
      <c r="J1744" t="str">
        <f>"R$ 0,00"</f>
        <v>R$ 0,00</v>
      </c>
      <c r="K1744" t="str">
        <f>"R$ 1.430,00"</f>
        <v>R$ 1.430,00</v>
      </c>
    </row>
    <row r="1745" spans="1:11" x14ac:dyDescent="0.25">
      <c r="A1745" t="str">
        <f>"00025364 / 1"</f>
        <v>00025364 / 1</v>
      </c>
      <c r="B1745" t="str">
        <f>"13° Salário Anual"</f>
        <v>13° Salário Anual</v>
      </c>
      <c r="C1745" t="str">
        <f>"Raimunda Nonata Santana dos Passos"</f>
        <v>Raimunda Nonata Santana dos Passos</v>
      </c>
      <c r="D1745" t="str">
        <f>"PROFESSOR NIVEL II"</f>
        <v>PROFESSOR NIVEL II</v>
      </c>
      <c r="E1745" t="str">
        <f t="shared" ref="E1745:E1758" si="177">"Efetivo-Inativo I- RJUSM"</f>
        <v>Efetivo-Inativo I- RJUSM</v>
      </c>
      <c r="F1745" t="str">
        <f>"R$ 2.071,51"</f>
        <v>R$ 2.071,51</v>
      </c>
      <c r="G1745" t="str">
        <f>"R$ 2.589,38"</f>
        <v>R$ 2.589,38</v>
      </c>
      <c r="H1745" t="str">
        <f t="shared" si="175"/>
        <v>R$ 0,00</v>
      </c>
      <c r="I1745" t="str">
        <f>"R$ 2.589,38"</f>
        <v>R$ 2.589,38</v>
      </c>
      <c r="J1745" t="str">
        <f>"R$ 1.331,87"</f>
        <v>R$ 1.331,87</v>
      </c>
      <c r="K1745" t="str">
        <f>"R$ 1.257,51"</f>
        <v>R$ 1.257,51</v>
      </c>
    </row>
    <row r="1746" spans="1:11" x14ac:dyDescent="0.25">
      <c r="A1746" t="str">
        <f>"00025364 / 1"</f>
        <v>00025364 / 1</v>
      </c>
      <c r="B1746" t="str">
        <f>"Folha Mensal"</f>
        <v>Folha Mensal</v>
      </c>
      <c r="C1746" t="str">
        <f>"Raimunda Nonata Santana dos Passos"</f>
        <v>Raimunda Nonata Santana dos Passos</v>
      </c>
      <c r="D1746" t="str">
        <f>"PROFESSOR NIVEL II"</f>
        <v>PROFESSOR NIVEL II</v>
      </c>
      <c r="E1746" t="str">
        <f t="shared" si="177"/>
        <v>Efetivo-Inativo I- RJUSM</v>
      </c>
      <c r="F1746" t="str">
        <f>"R$ 2.071,51"</f>
        <v>R$ 2.071,51</v>
      </c>
      <c r="G1746" t="str">
        <f>"R$ 2.589,38"</f>
        <v>R$ 2.589,38</v>
      </c>
      <c r="H1746" t="str">
        <f t="shared" si="175"/>
        <v>R$ 0,00</v>
      </c>
      <c r="I1746" t="str">
        <f>"R$ 2.589,38"</f>
        <v>R$ 2.589,38</v>
      </c>
      <c r="J1746" t="str">
        <f>"R$ 37,18"</f>
        <v>R$ 37,18</v>
      </c>
      <c r="K1746" t="str">
        <f>"R$ 2.552,20"</f>
        <v>R$ 2.552,20</v>
      </c>
    </row>
    <row r="1747" spans="1:11" x14ac:dyDescent="0.25">
      <c r="A1747" t="str">
        <f>"00008621 / 1"</f>
        <v>00008621 / 1</v>
      </c>
      <c r="B1747" t="str">
        <f>"13° Salário Anual"</f>
        <v>13° Salário Anual</v>
      </c>
      <c r="C1747" t="str">
        <f>"Raimunda Palheta de Souza Filha"</f>
        <v>Raimunda Palheta de Souza Filha</v>
      </c>
      <c r="D1747" t="str">
        <f t="shared" ref="D1747:D1754" si="178">"PROFESSOR"</f>
        <v>PROFESSOR</v>
      </c>
      <c r="E1747" t="str">
        <f t="shared" si="177"/>
        <v>Efetivo-Inativo I- RJUSM</v>
      </c>
      <c r="F1747" t="str">
        <f t="shared" ref="F1747:F1752" si="179">"R$ 1.593,46"</f>
        <v>R$ 1.593,46</v>
      </c>
      <c r="G1747" t="str">
        <f>"R$ 2.058,74"</f>
        <v>R$ 2.058,74</v>
      </c>
      <c r="H1747" t="str">
        <f t="shared" si="175"/>
        <v>R$ 0,00</v>
      </c>
      <c r="I1747" t="str">
        <f>"R$ 2.058,74"</f>
        <v>R$ 2.058,74</v>
      </c>
      <c r="J1747" t="str">
        <f>"R$ 1.029,37"</f>
        <v>R$ 1.029,37</v>
      </c>
      <c r="K1747" t="str">
        <f>"R$ 1.029,37"</f>
        <v>R$ 1.029,37</v>
      </c>
    </row>
    <row r="1748" spans="1:11" x14ac:dyDescent="0.25">
      <c r="A1748" t="str">
        <f>"00008621 / 1"</f>
        <v>00008621 / 1</v>
      </c>
      <c r="B1748" t="str">
        <f>"Folha Mensal"</f>
        <v>Folha Mensal</v>
      </c>
      <c r="C1748" t="str">
        <f>"Raimunda Palheta de Souza Filha"</f>
        <v>Raimunda Palheta de Souza Filha</v>
      </c>
      <c r="D1748" t="str">
        <f t="shared" si="178"/>
        <v>PROFESSOR</v>
      </c>
      <c r="E1748" t="str">
        <f t="shared" si="177"/>
        <v>Efetivo-Inativo I- RJUSM</v>
      </c>
      <c r="F1748" t="str">
        <f t="shared" si="179"/>
        <v>R$ 1.593,46</v>
      </c>
      <c r="G1748" t="str">
        <f>"R$ 2.058,74"</f>
        <v>R$ 2.058,74</v>
      </c>
      <c r="H1748" t="str">
        <f t="shared" si="175"/>
        <v>R$ 0,00</v>
      </c>
      <c r="I1748" t="str">
        <f>"R$ 2.058,74"</f>
        <v>R$ 2.058,74</v>
      </c>
      <c r="J1748" t="str">
        <f>"R$ 0,00"</f>
        <v>R$ 0,00</v>
      </c>
      <c r="K1748" t="str">
        <f>"R$ 2.058,74"</f>
        <v>R$ 2.058,74</v>
      </c>
    </row>
    <row r="1749" spans="1:11" x14ac:dyDescent="0.25">
      <c r="A1749" t="str">
        <f>"00032760 / 1"</f>
        <v>00032760 / 1</v>
      </c>
      <c r="B1749" t="str">
        <f>"13° Salário Anual"</f>
        <v>13° Salário Anual</v>
      </c>
      <c r="C1749" t="str">
        <f>"Raimunda Pereira Pantoja"</f>
        <v>Raimunda Pereira Pantoja</v>
      </c>
      <c r="D1749" t="str">
        <f t="shared" si="178"/>
        <v>PROFESSOR</v>
      </c>
      <c r="E1749" t="str">
        <f t="shared" si="177"/>
        <v>Efetivo-Inativo I- RJUSM</v>
      </c>
      <c r="F1749" t="str">
        <f t="shared" si="179"/>
        <v>R$ 1.593,46</v>
      </c>
      <c r="G1749" t="str">
        <f>"R$ 2.071,49"</f>
        <v>R$ 2.071,49</v>
      </c>
      <c r="H1749" t="str">
        <f t="shared" si="175"/>
        <v>R$ 0,00</v>
      </c>
      <c r="I1749" t="str">
        <f>"R$ 2.071,49"</f>
        <v>R$ 2.071,49</v>
      </c>
      <c r="J1749" t="str">
        <f>"R$ 1.035,74"</f>
        <v>R$ 1.035,74</v>
      </c>
      <c r="K1749" t="str">
        <f>"R$ 1.035,75"</f>
        <v>R$ 1.035,75</v>
      </c>
    </row>
    <row r="1750" spans="1:11" x14ac:dyDescent="0.25">
      <c r="A1750" t="str">
        <f>"00032760 / 1"</f>
        <v>00032760 / 1</v>
      </c>
      <c r="B1750" t="str">
        <f>"Folha Mensal"</f>
        <v>Folha Mensal</v>
      </c>
      <c r="C1750" t="str">
        <f>"Raimunda Pereira Pantoja"</f>
        <v>Raimunda Pereira Pantoja</v>
      </c>
      <c r="D1750" t="str">
        <f t="shared" si="178"/>
        <v>PROFESSOR</v>
      </c>
      <c r="E1750" t="str">
        <f t="shared" si="177"/>
        <v>Efetivo-Inativo I- RJUSM</v>
      </c>
      <c r="F1750" t="str">
        <f t="shared" si="179"/>
        <v>R$ 1.593,46</v>
      </c>
      <c r="G1750" t="str">
        <f>"R$ 2.071,49"</f>
        <v>R$ 2.071,49</v>
      </c>
      <c r="H1750" t="str">
        <f t="shared" si="175"/>
        <v>R$ 0,00</v>
      </c>
      <c r="I1750" t="str">
        <f>"R$ 2.071,49"</f>
        <v>R$ 2.071,49</v>
      </c>
      <c r="J1750" t="str">
        <f>"R$ 0,00"</f>
        <v>R$ 0,00</v>
      </c>
      <c r="K1750" t="str">
        <f>"R$ 2.071,49"</f>
        <v>R$ 2.071,49</v>
      </c>
    </row>
    <row r="1751" spans="1:11" x14ac:dyDescent="0.25">
      <c r="A1751" t="str">
        <f>"00007463 / 1"</f>
        <v>00007463 / 1</v>
      </c>
      <c r="B1751" t="str">
        <f>"13° Salário Anual"</f>
        <v>13° Salário Anual</v>
      </c>
      <c r="C1751" t="str">
        <f>"Raimunda Regina da Silva Brabo"</f>
        <v>Raimunda Regina da Silva Brabo</v>
      </c>
      <c r="D1751" t="str">
        <f t="shared" si="178"/>
        <v>PROFESSOR</v>
      </c>
      <c r="E1751" t="str">
        <f t="shared" si="177"/>
        <v>Efetivo-Inativo I- RJUSM</v>
      </c>
      <c r="F1751" t="str">
        <f t="shared" si="179"/>
        <v>R$ 1.593,46</v>
      </c>
      <c r="G1751" t="str">
        <f>"R$ 1.991,82"</f>
        <v>R$ 1.991,82</v>
      </c>
      <c r="H1751" t="str">
        <f t="shared" si="175"/>
        <v>R$ 0,00</v>
      </c>
      <c r="I1751" t="str">
        <f>"R$ 1.991,82"</f>
        <v>R$ 1.991,82</v>
      </c>
      <c r="J1751" t="str">
        <f>"R$ 1.002,49"</f>
        <v>R$ 1.002,49</v>
      </c>
      <c r="K1751" t="str">
        <f>"R$ 989,33"</f>
        <v>R$ 989,33</v>
      </c>
    </row>
    <row r="1752" spans="1:11" x14ac:dyDescent="0.25">
      <c r="A1752" t="str">
        <f>"00007463 / 1"</f>
        <v>00007463 / 1</v>
      </c>
      <c r="B1752" t="str">
        <f>"Folha Mensal"</f>
        <v>Folha Mensal</v>
      </c>
      <c r="C1752" t="str">
        <f>"Raimunda Regina da Silva Brabo"</f>
        <v>Raimunda Regina da Silva Brabo</v>
      </c>
      <c r="D1752" t="str">
        <f t="shared" si="178"/>
        <v>PROFESSOR</v>
      </c>
      <c r="E1752" t="str">
        <f t="shared" si="177"/>
        <v>Efetivo-Inativo I- RJUSM</v>
      </c>
      <c r="F1752" t="str">
        <f t="shared" si="179"/>
        <v>R$ 1.593,46</v>
      </c>
      <c r="G1752" t="str">
        <f>"R$ 1.991,82"</f>
        <v>R$ 1.991,82</v>
      </c>
      <c r="H1752" t="str">
        <f t="shared" si="175"/>
        <v>R$ 0,00</v>
      </c>
      <c r="I1752" t="str">
        <f>"R$ 1.991,82"</f>
        <v>R$ 1.991,82</v>
      </c>
      <c r="J1752" t="str">
        <f>"R$ 362,99"</f>
        <v>R$ 362,99</v>
      </c>
      <c r="K1752" t="str">
        <f>"R$ 1.628,83"</f>
        <v>R$ 1.628,83</v>
      </c>
    </row>
    <row r="1753" spans="1:11" x14ac:dyDescent="0.25">
      <c r="A1753" t="str">
        <f>"00004324 / 1"</f>
        <v>00004324 / 1</v>
      </c>
      <c r="B1753" t="str">
        <f>"13° Salário Anual"</f>
        <v>13° Salário Anual</v>
      </c>
      <c r="C1753" t="str">
        <f>"Raimunda Silva do Carmo"</f>
        <v>Raimunda Silva do Carmo</v>
      </c>
      <c r="D1753" t="str">
        <f t="shared" si="178"/>
        <v>PROFESSOR</v>
      </c>
      <c r="E1753" t="str">
        <f t="shared" si="177"/>
        <v>Efetivo-Inativo I- RJUSM</v>
      </c>
      <c r="F1753" t="str">
        <f>"R$ 2.788,57"</f>
        <v>R$ 2.788,57</v>
      </c>
      <c r="G1753" t="str">
        <f>"R$ 3.485,71"</f>
        <v>R$ 3.485,71</v>
      </c>
      <c r="H1753" t="str">
        <f t="shared" si="175"/>
        <v>R$ 0,00</v>
      </c>
      <c r="I1753" t="str">
        <f>"R$ 3.485,71"</f>
        <v>R$ 3.485,71</v>
      </c>
      <c r="J1753" t="str">
        <f>"R$ 1.910,90"</f>
        <v>R$ 1.910,90</v>
      </c>
      <c r="K1753" t="str">
        <f>"R$ 1.574,81"</f>
        <v>R$ 1.574,81</v>
      </c>
    </row>
    <row r="1754" spans="1:11" x14ac:dyDescent="0.25">
      <c r="A1754" t="str">
        <f>"00004324 / 1"</f>
        <v>00004324 / 1</v>
      </c>
      <c r="B1754" t="str">
        <f>"Folha Mensal"</f>
        <v>Folha Mensal</v>
      </c>
      <c r="C1754" t="str">
        <f>"Raimunda Silva do Carmo"</f>
        <v>Raimunda Silva do Carmo</v>
      </c>
      <c r="D1754" t="str">
        <f t="shared" si="178"/>
        <v>PROFESSOR</v>
      </c>
      <c r="E1754" t="str">
        <f t="shared" si="177"/>
        <v>Efetivo-Inativo I- RJUSM</v>
      </c>
      <c r="F1754" t="str">
        <f>"R$ 2.788,57"</f>
        <v>R$ 2.788,57</v>
      </c>
      <c r="G1754" t="str">
        <f>"R$ 3.485,71"</f>
        <v>R$ 3.485,71</v>
      </c>
      <c r="H1754" t="str">
        <f t="shared" si="175"/>
        <v>R$ 0,00</v>
      </c>
      <c r="I1754" t="str">
        <f>"R$ 3.485,71"</f>
        <v>R$ 3.485,71</v>
      </c>
      <c r="J1754" t="str">
        <f>"R$ 168,05"</f>
        <v>R$ 168,05</v>
      </c>
      <c r="K1754" t="str">
        <f>"R$ 3.317,66"</f>
        <v>R$ 3.317,66</v>
      </c>
    </row>
    <row r="1755" spans="1:11" x14ac:dyDescent="0.25">
      <c r="A1755" t="str">
        <f>"00001430 / 1"</f>
        <v>00001430 / 1</v>
      </c>
      <c r="B1755" t="str">
        <f>"13° Salário Anual"</f>
        <v>13° Salário Anual</v>
      </c>
      <c r="C1755" t="str">
        <f>"Raimunda Silva Magalhaes"</f>
        <v>Raimunda Silva Magalhaes</v>
      </c>
      <c r="D1755" t="str">
        <f>"PROP IDADE"</f>
        <v>PROP IDADE</v>
      </c>
      <c r="E1755" t="str">
        <f t="shared" si="177"/>
        <v>Efetivo-Inativo I- RJUSM</v>
      </c>
      <c r="F1755" t="str">
        <f>"R$ 987,61"</f>
        <v>R$ 987,61</v>
      </c>
      <c r="G1755" t="str">
        <f>"R$ 1.185,13"</f>
        <v>R$ 1.185,13</v>
      </c>
      <c r="H1755" t="str">
        <f t="shared" si="175"/>
        <v>R$ 0,00</v>
      </c>
      <c r="I1755" t="str">
        <f>"R$ 1.185,13"</f>
        <v>R$ 1.185,13</v>
      </c>
      <c r="J1755" t="str">
        <f>"R$ 592,56"</f>
        <v>R$ 592,56</v>
      </c>
      <c r="K1755" t="str">
        <f>"R$ 592,57"</f>
        <v>R$ 592,57</v>
      </c>
    </row>
    <row r="1756" spans="1:11" x14ac:dyDescent="0.25">
      <c r="A1756" t="str">
        <f>"00001430 / 1"</f>
        <v>00001430 / 1</v>
      </c>
      <c r="B1756" t="str">
        <f>"Folha Mensal"</f>
        <v>Folha Mensal</v>
      </c>
      <c r="C1756" t="str">
        <f>"Raimunda Silva Magalhaes"</f>
        <v>Raimunda Silva Magalhaes</v>
      </c>
      <c r="D1756" t="str">
        <f>"PROP IDADE"</f>
        <v>PROP IDADE</v>
      </c>
      <c r="E1756" t="str">
        <f t="shared" si="177"/>
        <v>Efetivo-Inativo I- RJUSM</v>
      </c>
      <c r="F1756" t="str">
        <f>"R$ 987,61"</f>
        <v>R$ 987,61</v>
      </c>
      <c r="G1756" t="str">
        <f>"R$ 1.185,13"</f>
        <v>R$ 1.185,13</v>
      </c>
      <c r="H1756" t="str">
        <f t="shared" si="175"/>
        <v>R$ 0,00</v>
      </c>
      <c r="I1756" t="str">
        <f>"R$ 1.185,13"</f>
        <v>R$ 1.185,13</v>
      </c>
      <c r="J1756" t="str">
        <f>"R$ 0,00"</f>
        <v>R$ 0,00</v>
      </c>
      <c r="K1756" t="str">
        <f>"R$ 1.185,13"</f>
        <v>R$ 1.185,13</v>
      </c>
    </row>
    <row r="1757" spans="1:11" x14ac:dyDescent="0.25">
      <c r="A1757" t="str">
        <f>"00022756 / 1"</f>
        <v>00022756 / 1</v>
      </c>
      <c r="B1757" t="str">
        <f>"13° Salário Anual"</f>
        <v>13° Salário Anual</v>
      </c>
      <c r="C1757" t="str">
        <f>"Raimunda Suely Cunha da Silva"</f>
        <v>Raimunda Suely Cunha da Silva</v>
      </c>
      <c r="D1757" t="str">
        <f>"PROFESSOR"</f>
        <v>PROFESSOR</v>
      </c>
      <c r="E1757" t="str">
        <f t="shared" si="177"/>
        <v>Efetivo-Inativo I- RJUSM</v>
      </c>
      <c r="F1757" t="str">
        <f>"R$ 2.230,85"</f>
        <v>R$ 2.230,85</v>
      </c>
      <c r="G1757" t="str">
        <f>"R$ 2.900,10"</f>
        <v>R$ 2.900,10</v>
      </c>
      <c r="H1757" t="str">
        <f t="shared" ref="H1757:H1781" si="180">"R$ 0,00"</f>
        <v>R$ 0,00</v>
      </c>
      <c r="I1757" t="str">
        <f>"R$ 2.900,10"</f>
        <v>R$ 2.900,10</v>
      </c>
      <c r="J1757" t="str">
        <f>"R$ 1.530,26"</f>
        <v>R$ 1.530,26</v>
      </c>
      <c r="K1757" t="str">
        <f>"R$ 1.369,84"</f>
        <v>R$ 1.369,84</v>
      </c>
    </row>
    <row r="1758" spans="1:11" x14ac:dyDescent="0.25">
      <c r="A1758" t="str">
        <f>"00022756 / 1"</f>
        <v>00022756 / 1</v>
      </c>
      <c r="B1758" t="str">
        <f>"Folha Mensal"</f>
        <v>Folha Mensal</v>
      </c>
      <c r="C1758" t="str">
        <f>"Raimunda Suely Cunha da Silva"</f>
        <v>Raimunda Suely Cunha da Silva</v>
      </c>
      <c r="D1758" t="str">
        <f>"PROFESSOR"</f>
        <v>PROFESSOR</v>
      </c>
      <c r="E1758" t="str">
        <f t="shared" si="177"/>
        <v>Efetivo-Inativo I- RJUSM</v>
      </c>
      <c r="F1758" t="str">
        <f>"R$ 2.230,85"</f>
        <v>R$ 2.230,85</v>
      </c>
      <c r="G1758" t="str">
        <f>"R$ 2.900,10"</f>
        <v>R$ 2.900,10</v>
      </c>
      <c r="H1758" t="str">
        <f t="shared" si="180"/>
        <v>R$ 0,00</v>
      </c>
      <c r="I1758" t="str">
        <f>"R$ 2.900,10"</f>
        <v>R$ 2.900,10</v>
      </c>
      <c r="J1758" t="str">
        <f>"R$ 80,21"</f>
        <v>R$ 80,21</v>
      </c>
      <c r="K1758" t="str">
        <f>"R$ 2.819,89"</f>
        <v>R$ 2.819,89</v>
      </c>
    </row>
    <row r="1759" spans="1:11" x14ac:dyDescent="0.25">
      <c r="A1759" t="str">
        <f>"00007706 / 1"</f>
        <v>00007706 / 1</v>
      </c>
      <c r="B1759" t="str">
        <f>"13° Salário Anual"</f>
        <v>13° Salário Anual</v>
      </c>
      <c r="C1759" t="str">
        <f>"Raimundo Alves Lopes Neto"</f>
        <v>Raimundo Alves Lopes Neto</v>
      </c>
      <c r="D1759" t="str">
        <f>"PROFESSOR NIVEL III"</f>
        <v>PROFESSOR NIVEL III</v>
      </c>
      <c r="E1759" t="str">
        <f>"Efetivo-Inativos II-RJUSM"</f>
        <v>Efetivo-Inativos II-RJUSM</v>
      </c>
      <c r="F1759" t="str">
        <f>"R$ 6.055,17"</f>
        <v>R$ 6.055,17</v>
      </c>
      <c r="G1759" t="str">
        <f>"R$ 7.871,72"</f>
        <v>R$ 7.871,72</v>
      </c>
      <c r="H1759" t="str">
        <f t="shared" si="180"/>
        <v>R$ 0,00</v>
      </c>
      <c r="I1759" t="str">
        <f>"R$ 7.871,72"</f>
        <v>R$ 7.871,72</v>
      </c>
      <c r="J1759" t="str">
        <f>"R$ 5.410,94"</f>
        <v>R$ 5.410,94</v>
      </c>
      <c r="K1759" t="str">
        <f>"R$ 2.460,78"</f>
        <v>R$ 2.460,78</v>
      </c>
    </row>
    <row r="1760" spans="1:11" x14ac:dyDescent="0.25">
      <c r="A1760" t="str">
        <f>"00007706 / 1"</f>
        <v>00007706 / 1</v>
      </c>
      <c r="B1760" t="str">
        <f>"Folha Mensal"</f>
        <v>Folha Mensal</v>
      </c>
      <c r="C1760" t="str">
        <f>"Raimundo Alves Lopes Neto"</f>
        <v>Raimundo Alves Lopes Neto</v>
      </c>
      <c r="D1760" t="str">
        <f>"PROFESSOR NIVEL III"</f>
        <v>PROFESSOR NIVEL III</v>
      </c>
      <c r="E1760" t="str">
        <f>"Efetivo-Inativos II-RJUSM"</f>
        <v>Efetivo-Inativos II-RJUSM</v>
      </c>
      <c r="F1760" t="str">
        <f>"R$ 6.055,17"</f>
        <v>R$ 6.055,17</v>
      </c>
      <c r="G1760" t="str">
        <f>"R$ 7.871,72"</f>
        <v>R$ 7.871,72</v>
      </c>
      <c r="H1760" t="str">
        <f t="shared" si="180"/>
        <v>R$ 0,00</v>
      </c>
      <c r="I1760" t="str">
        <f>"R$ 7.871,72"</f>
        <v>R$ 7.871,72</v>
      </c>
      <c r="J1760" t="str">
        <f>"R$ 3.721,59"</f>
        <v>R$ 3.721,59</v>
      </c>
      <c r="K1760" t="str">
        <f>"R$ 4.150,13"</f>
        <v>R$ 4.150,13</v>
      </c>
    </row>
    <row r="1761" spans="1:11" x14ac:dyDescent="0.25">
      <c r="A1761" t="str">
        <f>"00266310 / 1"</f>
        <v>00266310 / 1</v>
      </c>
      <c r="B1761" t="str">
        <f>"13° Salário Anual"</f>
        <v>13° Salário Anual</v>
      </c>
      <c r="C1761" t="str">
        <f>"Raimundo Brandao dos Santos"</f>
        <v>Raimundo Brandao dos Santos</v>
      </c>
      <c r="D1761" t="str">
        <f>"PROP COMPULSORIA"</f>
        <v>PROP COMPULSORIA</v>
      </c>
      <c r="E1761" t="str">
        <f>"Efetivo-Inativos II-RJUSM"</f>
        <v>Efetivo-Inativos II-RJUSM</v>
      </c>
      <c r="F1761" t="str">
        <f>"R$ 1.100,00"</f>
        <v>R$ 1.100,00</v>
      </c>
      <c r="G1761" t="str">
        <f>"R$ 1.100,00"</f>
        <v>R$ 1.100,00</v>
      </c>
      <c r="H1761" t="str">
        <f t="shared" si="180"/>
        <v>R$ 0,00</v>
      </c>
      <c r="I1761" t="str">
        <f>"R$ 1.100,00"</f>
        <v>R$ 1.100,00</v>
      </c>
      <c r="J1761" t="str">
        <f>"R$ 550,00"</f>
        <v>R$ 550,00</v>
      </c>
      <c r="K1761" t="str">
        <f>"R$ 550,00"</f>
        <v>R$ 550,00</v>
      </c>
    </row>
    <row r="1762" spans="1:11" x14ac:dyDescent="0.25">
      <c r="A1762" t="str">
        <f>"00266310 / 1"</f>
        <v>00266310 / 1</v>
      </c>
      <c r="B1762" t="str">
        <f>"Folha Mensal"</f>
        <v>Folha Mensal</v>
      </c>
      <c r="C1762" t="str">
        <f>"Raimundo Brandao dos Santos"</f>
        <v>Raimundo Brandao dos Santos</v>
      </c>
      <c r="D1762" t="str">
        <f>"PROP COMPULSORIA"</f>
        <v>PROP COMPULSORIA</v>
      </c>
      <c r="E1762" t="str">
        <f>"Efetivo-Inativos II-RJUSM"</f>
        <v>Efetivo-Inativos II-RJUSM</v>
      </c>
      <c r="F1762" t="str">
        <f>"R$ 1.100,00"</f>
        <v>R$ 1.100,00</v>
      </c>
      <c r="G1762" t="str">
        <f>"R$ 1.100,00"</f>
        <v>R$ 1.100,00</v>
      </c>
      <c r="H1762" t="str">
        <f t="shared" si="180"/>
        <v>R$ 0,00</v>
      </c>
      <c r="I1762" t="str">
        <f>"R$ 1.100,00"</f>
        <v>R$ 1.100,00</v>
      </c>
      <c r="J1762" t="str">
        <f>"R$ 0,00"</f>
        <v>R$ 0,00</v>
      </c>
      <c r="K1762" t="str">
        <f>"R$ 1.100,00"</f>
        <v>R$ 1.100,00</v>
      </c>
    </row>
    <row r="1763" spans="1:11" x14ac:dyDescent="0.25">
      <c r="A1763" t="str">
        <f>"03642852 / 1"</f>
        <v>03642852 / 1</v>
      </c>
      <c r="B1763" t="str">
        <f>"13° Salário Anual"</f>
        <v>13° Salário Anual</v>
      </c>
      <c r="C1763" t="str">
        <f>"Raimundo Correa da Silva"</f>
        <v>Raimundo Correa da Silva</v>
      </c>
      <c r="D1763" t="str">
        <f>"INT INVALIDEZ"</f>
        <v>INT INVALIDEZ</v>
      </c>
      <c r="E1763" t="str">
        <f>"Efetivo-Inativo I- RJUSM"</f>
        <v>Efetivo-Inativo I- RJUSM</v>
      </c>
      <c r="F1763" t="str">
        <f>"R$ 1.100,00"</f>
        <v>R$ 1.100,00</v>
      </c>
      <c r="G1763" t="str">
        <f>"R$ 1.210,00"</f>
        <v>R$ 1.210,00</v>
      </c>
      <c r="H1763" t="str">
        <f t="shared" si="180"/>
        <v>R$ 0,00</v>
      </c>
      <c r="I1763" t="str">
        <f>"R$ 1.210,00"</f>
        <v>R$ 1.210,00</v>
      </c>
      <c r="J1763" t="str">
        <f>"R$ 605,00"</f>
        <v>R$ 605,00</v>
      </c>
      <c r="K1763" t="str">
        <f>"R$ 605,00"</f>
        <v>R$ 605,00</v>
      </c>
    </row>
    <row r="1764" spans="1:11" x14ac:dyDescent="0.25">
      <c r="A1764" t="str">
        <f>"03642852 / 1"</f>
        <v>03642852 / 1</v>
      </c>
      <c r="B1764" t="str">
        <f>"Folha Mensal"</f>
        <v>Folha Mensal</v>
      </c>
      <c r="C1764" t="str">
        <f>"Raimundo Correa da Silva"</f>
        <v>Raimundo Correa da Silva</v>
      </c>
      <c r="D1764" t="str">
        <f>"INT INVALIDEZ"</f>
        <v>INT INVALIDEZ</v>
      </c>
      <c r="E1764" t="str">
        <f>"Efetivo-Inativo I- RJUSM"</f>
        <v>Efetivo-Inativo I- RJUSM</v>
      </c>
      <c r="F1764" t="str">
        <f>"R$ 1.100,00"</f>
        <v>R$ 1.100,00</v>
      </c>
      <c r="G1764" t="str">
        <f>"R$ 1.210,00"</f>
        <v>R$ 1.210,00</v>
      </c>
      <c r="H1764" t="str">
        <f t="shared" si="180"/>
        <v>R$ 0,00</v>
      </c>
      <c r="I1764" t="str">
        <f>"R$ 1.210,00"</f>
        <v>R$ 1.210,00</v>
      </c>
      <c r="J1764" t="str">
        <f>"R$ 284,77"</f>
        <v>R$ 284,77</v>
      </c>
      <c r="K1764" t="str">
        <f>"R$ 925,23"</f>
        <v>R$ 925,23</v>
      </c>
    </row>
    <row r="1765" spans="1:11" x14ac:dyDescent="0.25">
      <c r="A1765" t="str">
        <f>"03642860 / 1"</f>
        <v>03642860 / 1</v>
      </c>
      <c r="B1765" t="str">
        <f>"13° Salário Anual"</f>
        <v>13° Salário Anual</v>
      </c>
      <c r="C1765" t="str">
        <f>"Raimundo Costa Cordovil"</f>
        <v>Raimundo Costa Cordovil</v>
      </c>
      <c r="D1765" t="str">
        <f>"PENSIONISTA"</f>
        <v>PENSIONISTA</v>
      </c>
      <c r="E1765" t="str">
        <f t="shared" ref="E1765:E1774" si="181">"Pensionista"</f>
        <v>Pensionista</v>
      </c>
      <c r="F1765" t="str">
        <f>"R$ 1.100,00"</f>
        <v>R$ 1.100,00</v>
      </c>
      <c r="G1765" t="str">
        <f>"R$ 1.265,00"</f>
        <v>R$ 1.265,00</v>
      </c>
      <c r="H1765" t="str">
        <f t="shared" si="180"/>
        <v>R$ 0,00</v>
      </c>
      <c r="I1765" t="str">
        <f>"R$ 1.265,00"</f>
        <v>R$ 1.265,00</v>
      </c>
      <c r="J1765" t="str">
        <f>"R$ 782,20"</f>
        <v>R$ 782,20</v>
      </c>
      <c r="K1765" t="str">
        <f>"R$ 482,80"</f>
        <v>R$ 482,80</v>
      </c>
    </row>
    <row r="1766" spans="1:11" x14ac:dyDescent="0.25">
      <c r="A1766" t="str">
        <f>"03642860 / 1"</f>
        <v>03642860 / 1</v>
      </c>
      <c r="B1766" t="str">
        <f>"Folha Mensal"</f>
        <v>Folha Mensal</v>
      </c>
      <c r="C1766" t="str">
        <f>"Raimundo Costa Cordovil"</f>
        <v>Raimundo Costa Cordovil</v>
      </c>
      <c r="D1766" t="str">
        <f>"PENSIONISTA"</f>
        <v>PENSIONISTA</v>
      </c>
      <c r="E1766" t="str">
        <f t="shared" si="181"/>
        <v>Pensionista</v>
      </c>
      <c r="F1766" t="str">
        <f>"R$ 1.100,00"</f>
        <v>R$ 1.100,00</v>
      </c>
      <c r="G1766" t="str">
        <f>"R$ 1.863,80"</f>
        <v>R$ 1.863,80</v>
      </c>
      <c r="H1766" t="str">
        <f t="shared" si="180"/>
        <v>R$ 0,00</v>
      </c>
      <c r="I1766" t="str">
        <f>"R$ 1.863,80"</f>
        <v>R$ 1.863,80</v>
      </c>
      <c r="J1766" t="str">
        <f>"R$ 112,03"</f>
        <v>R$ 112,03</v>
      </c>
      <c r="K1766" t="str">
        <f>"R$ 1.751,77"</f>
        <v>R$ 1.751,77</v>
      </c>
    </row>
    <row r="1767" spans="1:11" x14ac:dyDescent="0.25">
      <c r="A1767" t="str">
        <f>"00191019 / 1"</f>
        <v>00191019 / 1</v>
      </c>
      <c r="B1767" t="str">
        <f>"13° Salário Anual"</f>
        <v>13° Salário Anual</v>
      </c>
      <c r="C1767" t="str">
        <f>"Raimundo Favacho de Freitas"</f>
        <v>Raimundo Favacho de Freitas</v>
      </c>
      <c r="D1767" t="str">
        <f>"PENSIONISTA DE PROFESSOR"</f>
        <v>PENSIONISTA DE PROFESSOR</v>
      </c>
      <c r="E1767" t="str">
        <f t="shared" si="181"/>
        <v>Pensionista</v>
      </c>
      <c r="F1767" t="str">
        <f>"R$ 2.230,85"</f>
        <v>R$ 2.230,85</v>
      </c>
      <c r="G1767" t="str">
        <f>"R$ 3.747,82"</f>
        <v>R$ 3.747,82</v>
      </c>
      <c r="H1767" t="str">
        <f t="shared" si="180"/>
        <v>R$ 0,00</v>
      </c>
      <c r="I1767" t="str">
        <f>"R$ 3.747,82"</f>
        <v>R$ 3.747,82</v>
      </c>
      <c r="J1767" t="str">
        <f>"R$ 1.992,05"</f>
        <v>R$ 1.992,05</v>
      </c>
      <c r="K1767" t="str">
        <f>"R$ 1.755,77"</f>
        <v>R$ 1.755,77</v>
      </c>
    </row>
    <row r="1768" spans="1:11" x14ac:dyDescent="0.25">
      <c r="A1768" t="str">
        <f>"00191019 / 1"</f>
        <v>00191019 / 1</v>
      </c>
      <c r="B1768" t="str">
        <f>"Folha Mensal"</f>
        <v>Folha Mensal</v>
      </c>
      <c r="C1768" t="str">
        <f>"Raimundo Favacho de Freitas"</f>
        <v>Raimundo Favacho de Freitas</v>
      </c>
      <c r="D1768" t="str">
        <f>"PENSIONISTA DE PROFESSOR"</f>
        <v>PENSIONISTA DE PROFESSOR</v>
      </c>
      <c r="E1768" t="str">
        <f t="shared" si="181"/>
        <v>Pensionista</v>
      </c>
      <c r="F1768" t="str">
        <f>"R$ 2.230,85"</f>
        <v>R$ 2.230,85</v>
      </c>
      <c r="G1768" t="str">
        <f>"R$ 3.747,82"</f>
        <v>R$ 3.747,82</v>
      </c>
      <c r="H1768" t="str">
        <f t="shared" si="180"/>
        <v>R$ 0,00</v>
      </c>
      <c r="I1768" t="str">
        <f>"R$ 3.747,82"</f>
        <v>R$ 3.747,82</v>
      </c>
      <c r="J1768" t="str">
        <f>"R$ 207,37"</f>
        <v>R$ 207,37</v>
      </c>
      <c r="K1768" t="str">
        <f>"R$ 3.540,45"</f>
        <v>R$ 3.540,45</v>
      </c>
    </row>
    <row r="1769" spans="1:11" x14ac:dyDescent="0.25">
      <c r="A1769" t="str">
        <f>"00406236 / 1"</f>
        <v>00406236 / 1</v>
      </c>
      <c r="B1769" t="str">
        <f>"13° Salário Anual"</f>
        <v>13° Salário Anual</v>
      </c>
      <c r="C1769" t="str">
        <f>"Raimundo Jose Maria Ramos"</f>
        <v>Raimundo Jose Maria Ramos</v>
      </c>
      <c r="D1769" t="str">
        <f>"PENSIONISTA"</f>
        <v>PENSIONISTA</v>
      </c>
      <c r="E1769" t="str">
        <f t="shared" si="181"/>
        <v>Pensionista</v>
      </c>
      <c r="F1769" t="str">
        <f>"R$ 1.100,00"</f>
        <v>R$ 1.100,00</v>
      </c>
      <c r="G1769" t="str">
        <f>"R$ 1.100,00"</f>
        <v>R$ 1.100,00</v>
      </c>
      <c r="H1769" t="str">
        <f t="shared" si="180"/>
        <v>R$ 0,00</v>
      </c>
      <c r="I1769" t="str">
        <f>"R$ 1.100,00"</f>
        <v>R$ 1.100,00</v>
      </c>
      <c r="J1769" t="str">
        <f>"R$ 550,00"</f>
        <v>R$ 550,00</v>
      </c>
      <c r="K1769" t="str">
        <f>"R$ 550,00"</f>
        <v>R$ 550,00</v>
      </c>
    </row>
    <row r="1770" spans="1:11" x14ac:dyDescent="0.25">
      <c r="A1770" t="str">
        <f>"00406236 / 1"</f>
        <v>00406236 / 1</v>
      </c>
      <c r="B1770" t="str">
        <f>"Folha Mensal"</f>
        <v>Folha Mensal</v>
      </c>
      <c r="C1770" t="str">
        <f>"Raimundo Jose Maria Ramos"</f>
        <v>Raimundo Jose Maria Ramos</v>
      </c>
      <c r="D1770" t="str">
        <f>"PENSIONISTA"</f>
        <v>PENSIONISTA</v>
      </c>
      <c r="E1770" t="str">
        <f t="shared" si="181"/>
        <v>Pensionista</v>
      </c>
      <c r="F1770" t="str">
        <f>"R$ 1.100,00"</f>
        <v>R$ 1.100,00</v>
      </c>
      <c r="G1770" t="str">
        <f>"R$ 1.100,00"</f>
        <v>R$ 1.100,00</v>
      </c>
      <c r="H1770" t="str">
        <f t="shared" si="180"/>
        <v>R$ 0,00</v>
      </c>
      <c r="I1770" t="str">
        <f>"R$ 1.100,00"</f>
        <v>R$ 1.100,00</v>
      </c>
      <c r="J1770" t="str">
        <f>"R$ 0,00"</f>
        <v>R$ 0,00</v>
      </c>
      <c r="K1770" t="str">
        <f>"R$ 1.100,00"</f>
        <v>R$ 1.100,00</v>
      </c>
    </row>
    <row r="1771" spans="1:11" x14ac:dyDescent="0.25">
      <c r="A1771" t="str">
        <f>"03642879 / 1"</f>
        <v>03642879 / 1</v>
      </c>
      <c r="B1771" t="str">
        <f>"13° Salário Anual"</f>
        <v>13° Salário Anual</v>
      </c>
      <c r="C1771" t="str">
        <f>"Raimundo Lima da Silva"</f>
        <v>Raimundo Lima da Silva</v>
      </c>
      <c r="D1771" t="str">
        <f>"PENSIONISTA"</f>
        <v>PENSIONISTA</v>
      </c>
      <c r="E1771" t="str">
        <f t="shared" si="181"/>
        <v>Pensionista</v>
      </c>
      <c r="F1771" t="str">
        <f>"R$ 1.100,00"</f>
        <v>R$ 1.100,00</v>
      </c>
      <c r="G1771" t="str">
        <f>"R$ 1.430,00"</f>
        <v>R$ 1.430,00</v>
      </c>
      <c r="H1771" t="str">
        <f t="shared" si="180"/>
        <v>R$ 0,00</v>
      </c>
      <c r="I1771" t="str">
        <f>"R$ 1.430,00"</f>
        <v>R$ 1.430,00</v>
      </c>
      <c r="J1771" t="str">
        <f>"R$ 715,00"</f>
        <v>R$ 715,00</v>
      </c>
      <c r="K1771" t="str">
        <f>"R$ 715,00"</f>
        <v>R$ 715,00</v>
      </c>
    </row>
    <row r="1772" spans="1:11" x14ac:dyDescent="0.25">
      <c r="A1772" t="str">
        <f>"03642879 / 1"</f>
        <v>03642879 / 1</v>
      </c>
      <c r="B1772" t="str">
        <f>"Folha Mensal"</f>
        <v>Folha Mensal</v>
      </c>
      <c r="C1772" t="str">
        <f>"Raimundo Lima da Silva"</f>
        <v>Raimundo Lima da Silva</v>
      </c>
      <c r="D1772" t="str">
        <f>"PENSIONISTA"</f>
        <v>PENSIONISTA</v>
      </c>
      <c r="E1772" t="str">
        <f t="shared" si="181"/>
        <v>Pensionista</v>
      </c>
      <c r="F1772" t="str">
        <f>"R$ 1.100,00"</f>
        <v>R$ 1.100,00</v>
      </c>
      <c r="G1772" t="str">
        <f>"R$ 1.430,00"</f>
        <v>R$ 1.430,00</v>
      </c>
      <c r="H1772" t="str">
        <f t="shared" si="180"/>
        <v>R$ 0,00</v>
      </c>
      <c r="I1772" t="str">
        <f>"R$ 1.430,00"</f>
        <v>R$ 1.430,00</v>
      </c>
      <c r="J1772" t="str">
        <f>"R$ 0,00"</f>
        <v>R$ 0,00</v>
      </c>
      <c r="K1772" t="str">
        <f>"R$ 1.430,00"</f>
        <v>R$ 1.430,00</v>
      </c>
    </row>
    <row r="1773" spans="1:11" x14ac:dyDescent="0.25">
      <c r="A1773" t="str">
        <f>"00405299 / 1"</f>
        <v>00405299 / 1</v>
      </c>
      <c r="B1773" t="str">
        <f>"13° Salário Anual"</f>
        <v>13° Salário Anual</v>
      </c>
      <c r="C1773" t="str">
        <f>"Raimundo Natalino Correa Pacheco"</f>
        <v>Raimundo Natalino Correa Pacheco</v>
      </c>
      <c r="D1773" t="str">
        <f>"PENSIONISTA DE PROFESSOR"</f>
        <v>PENSIONISTA DE PROFESSOR</v>
      </c>
      <c r="E1773" t="str">
        <f t="shared" si="181"/>
        <v>Pensionista</v>
      </c>
      <c r="F1773" t="str">
        <f>"R$ 1.593,46"</f>
        <v>R$ 1.593,46</v>
      </c>
      <c r="G1773" t="str">
        <f>"R$ 1.593,46"</f>
        <v>R$ 1.593,46</v>
      </c>
      <c r="H1773" t="str">
        <f t="shared" si="180"/>
        <v>R$ 0,00</v>
      </c>
      <c r="I1773" t="str">
        <f>"R$ 1.593,46"</f>
        <v>R$ 1.593,46</v>
      </c>
      <c r="J1773" t="str">
        <f>"R$ 796,73"</f>
        <v>R$ 796,73</v>
      </c>
      <c r="K1773" t="str">
        <f>"R$ 796,73"</f>
        <v>R$ 796,73</v>
      </c>
    </row>
    <row r="1774" spans="1:11" x14ac:dyDescent="0.25">
      <c r="A1774" t="str">
        <f>"00405299 / 1"</f>
        <v>00405299 / 1</v>
      </c>
      <c r="B1774" t="str">
        <f>"Folha Mensal"</f>
        <v>Folha Mensal</v>
      </c>
      <c r="C1774" t="str">
        <f>"Raimundo Natalino Correa Pacheco"</f>
        <v>Raimundo Natalino Correa Pacheco</v>
      </c>
      <c r="D1774" t="str">
        <f>"PENSIONISTA DE PROFESSOR"</f>
        <v>PENSIONISTA DE PROFESSOR</v>
      </c>
      <c r="E1774" t="str">
        <f t="shared" si="181"/>
        <v>Pensionista</v>
      </c>
      <c r="F1774" t="str">
        <f>"R$ 1.593,46"</f>
        <v>R$ 1.593,46</v>
      </c>
      <c r="G1774" t="str">
        <f>"R$ 1.593,46"</f>
        <v>R$ 1.593,46</v>
      </c>
      <c r="H1774" t="str">
        <f t="shared" si="180"/>
        <v>R$ 0,00</v>
      </c>
      <c r="I1774" t="str">
        <f>"R$ 1.593,46"</f>
        <v>R$ 1.593,46</v>
      </c>
      <c r="J1774" t="str">
        <f>"R$ 547,22"</f>
        <v>R$ 547,22</v>
      </c>
      <c r="K1774" t="str">
        <f>"R$ 1.046,24"</f>
        <v>R$ 1.046,24</v>
      </c>
    </row>
    <row r="1775" spans="1:11" x14ac:dyDescent="0.25">
      <c r="A1775" t="str">
        <f>"03641856 / 2"</f>
        <v>03641856 / 2</v>
      </c>
      <c r="B1775" t="str">
        <f>"13° Salário Anual"</f>
        <v>13° Salário Anual</v>
      </c>
      <c r="C1775" t="str">
        <f>"Raimundo Nonato Barbosa Pereira"</f>
        <v>Raimundo Nonato Barbosa Pereira</v>
      </c>
      <c r="D1775" t="str">
        <f>"AUXILIAR MUNICIPAL"</f>
        <v>AUXILIAR MUNICIPAL</v>
      </c>
      <c r="E1775" t="str">
        <f>"Efetivo-Inativos II-RJUSM"</f>
        <v>Efetivo-Inativos II-RJUSM</v>
      </c>
      <c r="F1775" t="str">
        <f>"R$ 1.100,00"</f>
        <v>R$ 1.100,00</v>
      </c>
      <c r="G1775" t="str">
        <f>"R$ 247,50"</f>
        <v>R$ 247,50</v>
      </c>
      <c r="H1775" t="str">
        <f t="shared" si="180"/>
        <v>R$ 0,00</v>
      </c>
      <c r="I1775" t="str">
        <f>"R$ 247,50"</f>
        <v>R$ 247,50</v>
      </c>
      <c r="J1775" t="str">
        <f>"R$ 0,00"</f>
        <v>R$ 0,00</v>
      </c>
      <c r="K1775" t="str">
        <f>"R$ 247,50"</f>
        <v>R$ 247,50</v>
      </c>
    </row>
    <row r="1776" spans="1:11" x14ac:dyDescent="0.25">
      <c r="A1776" t="str">
        <f>"03641856 / 2"</f>
        <v>03641856 / 2</v>
      </c>
      <c r="B1776" t="str">
        <f>"Folha Mensal"</f>
        <v>Folha Mensal</v>
      </c>
      <c r="C1776" t="str">
        <f>"Raimundo Nonato Barbosa Pereira"</f>
        <v>Raimundo Nonato Barbosa Pereira</v>
      </c>
      <c r="D1776" t="str">
        <f>"AUXILIAR MUNICIPAL"</f>
        <v>AUXILIAR MUNICIPAL</v>
      </c>
      <c r="E1776" t="str">
        <f>"Efetivo-Inativos II-RJUSM"</f>
        <v>Efetivo-Inativos II-RJUSM</v>
      </c>
      <c r="F1776" t="str">
        <f>"R$ 1.100,00"</f>
        <v>R$ 1.100,00</v>
      </c>
      <c r="G1776" t="str">
        <f>"R$ 1.485,00"</f>
        <v>R$ 1.485,00</v>
      </c>
      <c r="H1776" t="str">
        <f t="shared" si="180"/>
        <v>R$ 0,00</v>
      </c>
      <c r="I1776" t="str">
        <f>"R$ 1.485,00"</f>
        <v>R$ 1.485,00</v>
      </c>
      <c r="J1776" t="str">
        <f>"R$ 0,00"</f>
        <v>R$ 0,00</v>
      </c>
      <c r="K1776" t="str">
        <f>"R$ 1.485,00"</f>
        <v>R$ 1.485,00</v>
      </c>
    </row>
    <row r="1777" spans="1:11" x14ac:dyDescent="0.25">
      <c r="A1777" t="str">
        <f>"03640965 / 1"</f>
        <v>03640965 / 1</v>
      </c>
      <c r="B1777" t="str">
        <f>"13° Salário Anual"</f>
        <v>13° Salário Anual</v>
      </c>
      <c r="C1777" t="str">
        <f>"Raimundo Nonato Ferreira da Silva"</f>
        <v>Raimundo Nonato Ferreira da Silva</v>
      </c>
      <c r="D1777" t="str">
        <f>"DAS 03"</f>
        <v>DAS 03</v>
      </c>
      <c r="E1777" t="str">
        <f>"Comissionado"</f>
        <v>Comissionado</v>
      </c>
      <c r="F1777" t="str">
        <f>"R$ 1.170,24"</f>
        <v>R$ 1.170,24</v>
      </c>
      <c r="G1777" t="str">
        <f>"R$ 975,20"</f>
        <v>R$ 975,20</v>
      </c>
      <c r="H1777" t="str">
        <f t="shared" si="180"/>
        <v>R$ 0,00</v>
      </c>
      <c r="I1777" t="str">
        <f>"R$ 975,20"</f>
        <v>R$ 975,20</v>
      </c>
      <c r="J1777" t="str">
        <f>"R$ 560,74"</f>
        <v>R$ 560,74</v>
      </c>
      <c r="K1777" t="str">
        <f>"R$ 414,46"</f>
        <v>R$ 414,46</v>
      </c>
    </row>
    <row r="1778" spans="1:11" x14ac:dyDescent="0.25">
      <c r="A1778" t="str">
        <f>"03640965 / 1"</f>
        <v>03640965 / 1</v>
      </c>
      <c r="B1778" t="str">
        <f>"Folha Mensal"</f>
        <v>Folha Mensal</v>
      </c>
      <c r="C1778" t="str">
        <f>"Raimundo Nonato Ferreira da Silva"</f>
        <v>Raimundo Nonato Ferreira da Silva</v>
      </c>
      <c r="D1778" t="str">
        <f>"DAS 03"</f>
        <v>DAS 03</v>
      </c>
      <c r="E1778" t="str">
        <f>"Comissionado"</f>
        <v>Comissionado</v>
      </c>
      <c r="F1778" t="str">
        <f>"R$ 1.170,24"</f>
        <v>R$ 1.170,24</v>
      </c>
      <c r="G1778" t="str">
        <f>"R$ 1.170,24"</f>
        <v>R$ 1.170,24</v>
      </c>
      <c r="H1778" t="str">
        <f t="shared" si="180"/>
        <v>R$ 0,00</v>
      </c>
      <c r="I1778" t="str">
        <f>"R$ 1.170,24"</f>
        <v>R$ 1.170,24</v>
      </c>
      <c r="J1778" t="str">
        <f>"R$ 88,82"</f>
        <v>R$ 88,82</v>
      </c>
      <c r="K1778" t="str">
        <f>"R$ 1.081,42"</f>
        <v>R$ 1.081,42</v>
      </c>
    </row>
    <row r="1779" spans="1:11" x14ac:dyDescent="0.25">
      <c r="A1779" t="str">
        <f>"00042099 / 1"</f>
        <v>00042099 / 1</v>
      </c>
      <c r="B1779" t="str">
        <f>"13° Salário Anual"</f>
        <v>13° Salário Anual</v>
      </c>
      <c r="C1779" t="str">
        <f>"Raimundo Nonato Ferreira Pantoja"</f>
        <v>Raimundo Nonato Ferreira Pantoja</v>
      </c>
      <c r="D1779" t="str">
        <f>"PROFESSOR NIVEL II"</f>
        <v>PROFESSOR NIVEL II</v>
      </c>
      <c r="E1779" t="str">
        <f>"Efetivo-Inativos II-RJUSM"</f>
        <v>Efetivo-Inativos II-RJUSM</v>
      </c>
      <c r="F1779" t="str">
        <f>"R$ 5.019,41"</f>
        <v>R$ 5.019,41</v>
      </c>
      <c r="G1779" t="str">
        <f>"R$ 6.525,23"</f>
        <v>R$ 6.525,23</v>
      </c>
      <c r="H1779" t="str">
        <f t="shared" si="180"/>
        <v>R$ 0,00</v>
      </c>
      <c r="I1779" t="str">
        <f>"R$ 6.525,23"</f>
        <v>R$ 6.525,23</v>
      </c>
      <c r="J1779" t="str">
        <f>"R$ 4.230,73"</f>
        <v>R$ 4.230,73</v>
      </c>
      <c r="K1779" t="str">
        <f>"R$ 2.294,50"</f>
        <v>R$ 2.294,50</v>
      </c>
    </row>
    <row r="1780" spans="1:11" x14ac:dyDescent="0.25">
      <c r="A1780" t="str">
        <f>"00042099 / 1"</f>
        <v>00042099 / 1</v>
      </c>
      <c r="B1780" t="str">
        <f>"Folha Mensal"</f>
        <v>Folha Mensal</v>
      </c>
      <c r="C1780" t="str">
        <f>"Raimundo Nonato Ferreira Pantoja"</f>
        <v>Raimundo Nonato Ferreira Pantoja</v>
      </c>
      <c r="D1780" t="str">
        <f>"PROFESSOR NIVEL II"</f>
        <v>PROFESSOR NIVEL II</v>
      </c>
      <c r="E1780" t="str">
        <f>"Efetivo-Inativos II-RJUSM"</f>
        <v>Efetivo-Inativos II-RJUSM</v>
      </c>
      <c r="F1780" t="str">
        <f>"R$ 5.019,41"</f>
        <v>R$ 5.019,41</v>
      </c>
      <c r="G1780" t="str">
        <f>"R$ 6.525,23"</f>
        <v>R$ 6.525,23</v>
      </c>
      <c r="H1780" t="str">
        <f t="shared" si="180"/>
        <v>R$ 0,00</v>
      </c>
      <c r="I1780" t="str">
        <f>"R$ 6.525,23"</f>
        <v>R$ 6.525,23</v>
      </c>
      <c r="J1780" t="str">
        <f>"R$ 968,12"</f>
        <v>R$ 968,12</v>
      </c>
      <c r="K1780" t="str">
        <f>"R$ 5.557,11"</f>
        <v>R$ 5.557,11</v>
      </c>
    </row>
    <row r="1781" spans="1:11" x14ac:dyDescent="0.25">
      <c r="A1781" t="str">
        <f>"03641627 / 1"</f>
        <v>03641627 / 1</v>
      </c>
      <c r="B1781" t="str">
        <f>"13° Salário Anual"</f>
        <v>13° Salário Anual</v>
      </c>
      <c r="C1781" t="str">
        <f>"Raimundo Viana de Oliveira Filho"</f>
        <v>Raimundo Viana de Oliveira Filho</v>
      </c>
      <c r="D1781" t="str">
        <f>"DAS 05"</f>
        <v>DAS 05</v>
      </c>
      <c r="E1781" t="str">
        <f>"Comissionado"</f>
        <v>Comissionado</v>
      </c>
      <c r="F1781" t="str">
        <f>"R$ 2.025,00"</f>
        <v>R$ 2.025,00</v>
      </c>
      <c r="G1781" t="str">
        <f>"R$ 843,75"</f>
        <v>R$ 843,75</v>
      </c>
      <c r="H1781" t="str">
        <f t="shared" si="180"/>
        <v>R$ 0,00</v>
      </c>
      <c r="I1781" t="str">
        <f>"R$ 843,75"</f>
        <v>R$ 843,75</v>
      </c>
      <c r="J1781" t="str">
        <f>"R$ 485,15"</f>
        <v>R$ 485,15</v>
      </c>
      <c r="K1781" t="str">
        <f>"R$ 358,60"</f>
        <v>R$ 358,60</v>
      </c>
    </row>
    <row r="1782" spans="1:11" x14ac:dyDescent="0.25">
      <c r="A1782" t="str">
        <f>"03641627 / 1"</f>
        <v>03641627 / 1</v>
      </c>
      <c r="B1782" t="str">
        <f>"Folha Mensal"</f>
        <v>Folha Mensal</v>
      </c>
      <c r="C1782" t="str">
        <f>"Raimundo Viana de Oliveira Filho"</f>
        <v>Raimundo Viana de Oliveira Filho</v>
      </c>
      <c r="D1782" t="str">
        <f>"DAS 05"</f>
        <v>DAS 05</v>
      </c>
      <c r="E1782" t="str">
        <f>"Comissionado"</f>
        <v>Comissionado</v>
      </c>
      <c r="F1782" t="str">
        <f>"R$ 2.025,00"</f>
        <v>R$ 2.025,00</v>
      </c>
      <c r="G1782" t="str">
        <f>"R$ 2.025,00"</f>
        <v>R$ 2.025,00</v>
      </c>
      <c r="H1782" t="str">
        <f>"R$ 144,00"</f>
        <v>R$ 144,00</v>
      </c>
      <c r="I1782" t="str">
        <f>"R$ 2.169,00"</f>
        <v>R$ 2.169,00</v>
      </c>
      <c r="J1782" t="str">
        <f>"R$ 287,25"</f>
        <v>R$ 287,25</v>
      </c>
      <c r="K1782" t="str">
        <f>"R$ 1.881,75"</f>
        <v>R$ 1.881,75</v>
      </c>
    </row>
    <row r="1783" spans="1:11" x14ac:dyDescent="0.25">
      <c r="A1783" t="str">
        <f>"03640809 / 1"</f>
        <v>03640809 / 1</v>
      </c>
      <c r="B1783" t="str">
        <f>"13° Salário Anual"</f>
        <v>13° Salário Anual</v>
      </c>
      <c r="C1783" t="str">
        <f>"Raissa Fernandes Rebelo"</f>
        <v>Raissa Fernandes Rebelo</v>
      </c>
      <c r="D1783" t="str">
        <f>"DAS 06"</f>
        <v>DAS 06</v>
      </c>
      <c r="E1783" t="str">
        <f>"Comissionado"</f>
        <v>Comissionado</v>
      </c>
      <c r="F1783" t="str">
        <f>"R$ 2.427,00"</f>
        <v>R$ 2.427,00</v>
      </c>
      <c r="G1783" t="str">
        <f>"R$ 2.224,75"</f>
        <v>R$ 2.224,75</v>
      </c>
      <c r="H1783" t="str">
        <f>"R$ 0,00"</f>
        <v>R$ 0,00</v>
      </c>
      <c r="I1783" t="str">
        <f>"R$ 2.224,75"</f>
        <v>R$ 2.224,75</v>
      </c>
      <c r="J1783" t="str">
        <f>"R$ 1.306,95"</f>
        <v>R$ 1.306,95</v>
      </c>
      <c r="K1783" t="str">
        <f>"R$ 917,80"</f>
        <v>R$ 917,80</v>
      </c>
    </row>
    <row r="1784" spans="1:11" x14ac:dyDescent="0.25">
      <c r="A1784" t="str">
        <f>"03640809 / 1"</f>
        <v>03640809 / 1</v>
      </c>
      <c r="B1784" t="str">
        <f>"Folha Mensal"</f>
        <v>Folha Mensal</v>
      </c>
      <c r="C1784" t="str">
        <f>"Raissa Fernandes Rebelo"</f>
        <v>Raissa Fernandes Rebelo</v>
      </c>
      <c r="D1784" t="str">
        <f>"DAS 06"</f>
        <v>DAS 06</v>
      </c>
      <c r="E1784" t="str">
        <f>"Comissionado"</f>
        <v>Comissionado</v>
      </c>
      <c r="F1784" t="str">
        <f>"R$ 2.427,00"</f>
        <v>R$ 2.427,00</v>
      </c>
      <c r="G1784" t="str">
        <f>"R$ 2.427,00"</f>
        <v>R$ 2.427,00</v>
      </c>
      <c r="H1784" t="str">
        <f>"R$ 288,00"</f>
        <v>R$ 288,00</v>
      </c>
      <c r="I1784" t="str">
        <f>"R$ 2.715,00"</f>
        <v>R$ 2.715,00</v>
      </c>
      <c r="J1784" t="str">
        <f>"R$ 377,82"</f>
        <v>R$ 377,82</v>
      </c>
      <c r="K1784" t="str">
        <f>"R$ 2.337,18"</f>
        <v>R$ 2.337,18</v>
      </c>
    </row>
    <row r="1785" spans="1:11" x14ac:dyDescent="0.25">
      <c r="A1785" t="str">
        <f>"00025020 / 1"</f>
        <v>00025020 / 1</v>
      </c>
      <c r="B1785" t="str">
        <f>"13° Salário Anual"</f>
        <v>13° Salário Anual</v>
      </c>
      <c r="C1785" t="str">
        <f>"Raquel Paixao Saraiva"</f>
        <v>Raquel Paixao Saraiva</v>
      </c>
      <c r="D1785" t="str">
        <f>"PROFESSOR"</f>
        <v>PROFESSOR</v>
      </c>
      <c r="E1785" t="str">
        <f>"Efetivo-Inativo I- RJUSM"</f>
        <v>Efetivo-Inativo I- RJUSM</v>
      </c>
      <c r="F1785" t="str">
        <f>"R$ 2.071,51"</f>
        <v>R$ 2.071,51</v>
      </c>
      <c r="G1785" t="str">
        <f>"R$ 2.589,38"</f>
        <v>R$ 2.589,38</v>
      </c>
      <c r="H1785" t="str">
        <f>"R$ 0,00"</f>
        <v>R$ 0,00</v>
      </c>
      <c r="I1785" t="str">
        <f>"R$ 2.589,38"</f>
        <v>R$ 2.589,38</v>
      </c>
      <c r="J1785" t="str">
        <f>"R$ 1.294,69"</f>
        <v>R$ 1.294,69</v>
      </c>
      <c r="K1785" t="str">
        <f>"R$ 1.294,69"</f>
        <v>R$ 1.294,69</v>
      </c>
    </row>
    <row r="1786" spans="1:11" x14ac:dyDescent="0.25">
      <c r="A1786" t="str">
        <f>"00025020 / 1"</f>
        <v>00025020 / 1</v>
      </c>
      <c r="B1786" t="str">
        <f>"Folha Mensal"</f>
        <v>Folha Mensal</v>
      </c>
      <c r="C1786" t="str">
        <f>"Raquel Paixao Saraiva"</f>
        <v>Raquel Paixao Saraiva</v>
      </c>
      <c r="D1786" t="str">
        <f>"PROFESSOR"</f>
        <v>PROFESSOR</v>
      </c>
      <c r="E1786" t="str">
        <f>"Efetivo-Inativo I- RJUSM"</f>
        <v>Efetivo-Inativo I- RJUSM</v>
      </c>
      <c r="F1786" t="str">
        <f>"R$ 2.071,51"</f>
        <v>R$ 2.071,51</v>
      </c>
      <c r="G1786" t="str">
        <f>"R$ 2.589,38"</f>
        <v>R$ 2.589,38</v>
      </c>
      <c r="H1786" t="str">
        <f>"R$ 0,00"</f>
        <v>R$ 0,00</v>
      </c>
      <c r="I1786" t="str">
        <f>"R$ 2.589,38"</f>
        <v>R$ 2.589,38</v>
      </c>
      <c r="J1786" t="str">
        <f>"R$ 671,48"</f>
        <v>R$ 671,48</v>
      </c>
      <c r="K1786" t="str">
        <f>"R$ 1.917,90"</f>
        <v>R$ 1.917,90</v>
      </c>
    </row>
    <row r="1787" spans="1:11" x14ac:dyDescent="0.25">
      <c r="A1787" t="str">
        <f>"03640442 / 1"</f>
        <v>03640442 / 1</v>
      </c>
      <c r="B1787" t="str">
        <f>"13° Salário Anual"</f>
        <v>13° Salário Anual</v>
      </c>
      <c r="C1787" t="str">
        <f>"Raul Thyago Rayol Vicente"</f>
        <v>Raul Thyago Rayol Vicente</v>
      </c>
      <c r="D1787" t="str">
        <f>"DAS 06"</f>
        <v>DAS 06</v>
      </c>
      <c r="E1787" t="str">
        <f>"Comissionado"</f>
        <v>Comissionado</v>
      </c>
      <c r="F1787" t="str">
        <f>"R$ 2.427,00"</f>
        <v>R$ 2.427,00</v>
      </c>
      <c r="G1787" t="str">
        <f>"R$ 2.427,00"</f>
        <v>R$ 2.427,00</v>
      </c>
      <c r="H1787" t="str">
        <f>"R$ 0,00"</f>
        <v>R$ 0,00</v>
      </c>
      <c r="I1787" t="str">
        <f>"R$ 2.427,00"</f>
        <v>R$ 2.427,00</v>
      </c>
      <c r="J1787" t="str">
        <f>"R$ 1.445,70"</f>
        <v>R$ 1.445,70</v>
      </c>
      <c r="K1787" t="str">
        <f>"R$ 981,30"</f>
        <v>R$ 981,30</v>
      </c>
    </row>
    <row r="1788" spans="1:11" x14ac:dyDescent="0.25">
      <c r="A1788" t="str">
        <f>"03640442 / 1"</f>
        <v>03640442 / 1</v>
      </c>
      <c r="B1788" t="str">
        <f>"Folha Mensal"</f>
        <v>Folha Mensal</v>
      </c>
      <c r="C1788" t="str">
        <f>"Raul Thyago Rayol Vicente"</f>
        <v>Raul Thyago Rayol Vicente</v>
      </c>
      <c r="D1788" t="str">
        <f>"DAS 06"</f>
        <v>DAS 06</v>
      </c>
      <c r="E1788" t="str">
        <f>"Comissionado"</f>
        <v>Comissionado</v>
      </c>
      <c r="F1788" t="str">
        <f>"R$ 2.427,00"</f>
        <v>R$ 2.427,00</v>
      </c>
      <c r="G1788" t="str">
        <f>"R$ 2.427,00"</f>
        <v>R$ 2.427,00</v>
      </c>
      <c r="H1788" t="str">
        <f>"R$ 288,00"</f>
        <v>R$ 288,00</v>
      </c>
      <c r="I1788" t="str">
        <f>"R$ 2.715,00"</f>
        <v>R$ 2.715,00</v>
      </c>
      <c r="J1788" t="str">
        <f>"R$ 377,82"</f>
        <v>R$ 377,82</v>
      </c>
      <c r="K1788" t="str">
        <f>"R$ 2.337,18"</f>
        <v>R$ 2.337,18</v>
      </c>
    </row>
    <row r="1789" spans="1:11" x14ac:dyDescent="0.25">
      <c r="A1789" t="str">
        <f>"00026662 / 1"</f>
        <v>00026662 / 1</v>
      </c>
      <c r="B1789" t="str">
        <f>"13° Salário Anual"</f>
        <v>13° Salário Anual</v>
      </c>
      <c r="C1789" t="str">
        <f>"Regina Celia Silva da Silva"</f>
        <v>Regina Celia Silva da Silva</v>
      </c>
      <c r="D1789" t="str">
        <f>"PROFESSOR"</f>
        <v>PROFESSOR</v>
      </c>
      <c r="E1789" t="str">
        <f>"Efetivo-Inativo I- RJUSM"</f>
        <v>Efetivo-Inativo I- RJUSM</v>
      </c>
      <c r="F1789" t="str">
        <f>"R$ 2.071,51"</f>
        <v>R$ 2.071,51</v>
      </c>
      <c r="G1789" t="str">
        <f>"R$ 2.589,38"</f>
        <v>R$ 2.589,38</v>
      </c>
      <c r="H1789" t="str">
        <f t="shared" ref="H1789:H1811" si="182">"R$ 0,00"</f>
        <v>R$ 0,00</v>
      </c>
      <c r="I1789" t="str">
        <f>"R$ 2.589,38"</f>
        <v>R$ 2.589,38</v>
      </c>
      <c r="J1789" t="str">
        <f>"R$ 1.294,69"</f>
        <v>R$ 1.294,69</v>
      </c>
      <c r="K1789" t="str">
        <f>"R$ 1.294,69"</f>
        <v>R$ 1.294,69</v>
      </c>
    </row>
    <row r="1790" spans="1:11" x14ac:dyDescent="0.25">
      <c r="A1790" t="str">
        <f>"00026662 / 1"</f>
        <v>00026662 / 1</v>
      </c>
      <c r="B1790" t="str">
        <f>"Folha Mensal"</f>
        <v>Folha Mensal</v>
      </c>
      <c r="C1790" t="str">
        <f>"Regina Celia Silva da Silva"</f>
        <v>Regina Celia Silva da Silva</v>
      </c>
      <c r="D1790" t="str">
        <f>"PROFESSOR"</f>
        <v>PROFESSOR</v>
      </c>
      <c r="E1790" t="str">
        <f>"Efetivo-Inativo I- RJUSM"</f>
        <v>Efetivo-Inativo I- RJUSM</v>
      </c>
      <c r="F1790" t="str">
        <f>"R$ 2.071,51"</f>
        <v>R$ 2.071,51</v>
      </c>
      <c r="G1790" t="str">
        <f>"R$ 2.589,38"</f>
        <v>R$ 2.589,38</v>
      </c>
      <c r="H1790" t="str">
        <f t="shared" si="182"/>
        <v>R$ 0,00</v>
      </c>
      <c r="I1790" t="str">
        <f>"R$ 2.589,38"</f>
        <v>R$ 2.589,38</v>
      </c>
      <c r="J1790" t="str">
        <f>"R$ 0,00"</f>
        <v>R$ 0,00</v>
      </c>
      <c r="K1790" t="str">
        <f>"R$ 2.589,38"</f>
        <v>R$ 2.589,38</v>
      </c>
    </row>
    <row r="1791" spans="1:11" x14ac:dyDescent="0.25">
      <c r="A1791" t="str">
        <f>"00029092 / 1"</f>
        <v>00029092 / 1</v>
      </c>
      <c r="B1791" t="str">
        <f>"13° Salário Anual"</f>
        <v>13° Salário Anual</v>
      </c>
      <c r="C1791" t="str">
        <f>"Regina Celia Teixeira Pereira"</f>
        <v>Regina Celia Teixeira Pereira</v>
      </c>
      <c r="D1791" t="str">
        <f>"PROFESSOR NIVEL III"</f>
        <v>PROFESSOR NIVEL III</v>
      </c>
      <c r="E1791" t="str">
        <f>"Efetivo-Inativos II-RJUSM"</f>
        <v>Efetivo-Inativos II-RJUSM</v>
      </c>
      <c r="F1791" t="str">
        <f>"R$ 6.055,17"</f>
        <v>R$ 6.055,17</v>
      </c>
      <c r="G1791" t="str">
        <f>"R$ 7.871,72"</f>
        <v>R$ 7.871,72</v>
      </c>
      <c r="H1791" t="str">
        <f t="shared" si="182"/>
        <v>R$ 0,00</v>
      </c>
      <c r="I1791" t="str">
        <f>"R$ 7.871,72"</f>
        <v>R$ 7.871,72</v>
      </c>
      <c r="J1791" t="str">
        <f>"R$ 5.410,94"</f>
        <v>R$ 5.410,94</v>
      </c>
      <c r="K1791" t="str">
        <f>"R$ 2.460,78"</f>
        <v>R$ 2.460,78</v>
      </c>
    </row>
    <row r="1792" spans="1:11" x14ac:dyDescent="0.25">
      <c r="A1792" t="str">
        <f>"00029092 / 1"</f>
        <v>00029092 / 1</v>
      </c>
      <c r="B1792" t="str">
        <f>"Folha Mensal"</f>
        <v>Folha Mensal</v>
      </c>
      <c r="C1792" t="str">
        <f>"Regina Celia Teixeira Pereira"</f>
        <v>Regina Celia Teixeira Pereira</v>
      </c>
      <c r="D1792" t="str">
        <f>"PROFESSOR NIVEL III"</f>
        <v>PROFESSOR NIVEL III</v>
      </c>
      <c r="E1792" t="str">
        <f>"Efetivo-Inativos II-RJUSM"</f>
        <v>Efetivo-Inativos II-RJUSM</v>
      </c>
      <c r="F1792" t="str">
        <f>"R$ 6.055,17"</f>
        <v>R$ 6.055,17</v>
      </c>
      <c r="G1792" t="str">
        <f>"R$ 7.871,72"</f>
        <v>R$ 7.871,72</v>
      </c>
      <c r="H1792" t="str">
        <f t="shared" si="182"/>
        <v>R$ 0,00</v>
      </c>
      <c r="I1792" t="str">
        <f>"R$ 7.871,72"</f>
        <v>R$ 7.871,72</v>
      </c>
      <c r="J1792" t="str">
        <f>"R$ 3.709,59"</f>
        <v>R$ 3.709,59</v>
      </c>
      <c r="K1792" t="str">
        <f>"R$ 4.162,13"</f>
        <v>R$ 4.162,13</v>
      </c>
    </row>
    <row r="1793" spans="1:11" x14ac:dyDescent="0.25">
      <c r="A1793" t="str">
        <f>"00025224 / 1"</f>
        <v>00025224 / 1</v>
      </c>
      <c r="B1793" t="str">
        <f>"13° Salário Anual"</f>
        <v>13° Salário Anual</v>
      </c>
      <c r="C1793" t="str">
        <f>"Regina Coely Silva Pinto"</f>
        <v>Regina Coely Silva Pinto</v>
      </c>
      <c r="D1793" t="str">
        <f>"INT TEMP CONTRIBUICAO"</f>
        <v>INT TEMP CONTRIBUICAO</v>
      </c>
      <c r="E1793" t="str">
        <f>"Efetivo-Inativos II-RJUSM"</f>
        <v>Efetivo-Inativos II-RJUSM</v>
      </c>
      <c r="F1793" t="str">
        <f>"R$ 1.100,00"</f>
        <v>R$ 1.100,00</v>
      </c>
      <c r="G1793" t="str">
        <f>"R$ 1.375,00"</f>
        <v>R$ 1.375,00</v>
      </c>
      <c r="H1793" t="str">
        <f t="shared" si="182"/>
        <v>R$ 0,00</v>
      </c>
      <c r="I1793" t="str">
        <f>"R$ 1.375,00"</f>
        <v>R$ 1.375,00</v>
      </c>
      <c r="J1793" t="str">
        <f>"R$ 687,50"</f>
        <v>R$ 687,50</v>
      </c>
      <c r="K1793" t="str">
        <f>"R$ 687,50"</f>
        <v>R$ 687,50</v>
      </c>
    </row>
    <row r="1794" spans="1:11" x14ac:dyDescent="0.25">
      <c r="A1794" t="str">
        <f>"00025224 / 1"</f>
        <v>00025224 / 1</v>
      </c>
      <c r="B1794" t="str">
        <f>"Folha Mensal"</f>
        <v>Folha Mensal</v>
      </c>
      <c r="C1794" t="str">
        <f>"Regina Coely Silva Pinto"</f>
        <v>Regina Coely Silva Pinto</v>
      </c>
      <c r="D1794" t="str">
        <f>"INT TEMP CONTRIBUICAO"</f>
        <v>INT TEMP CONTRIBUICAO</v>
      </c>
      <c r="E1794" t="str">
        <f>"Efetivo-Inativos II-RJUSM"</f>
        <v>Efetivo-Inativos II-RJUSM</v>
      </c>
      <c r="F1794" t="str">
        <f>"R$ 1.100,00"</f>
        <v>R$ 1.100,00</v>
      </c>
      <c r="G1794" t="str">
        <f>"R$ 1.375,00"</f>
        <v>R$ 1.375,00</v>
      </c>
      <c r="H1794" t="str">
        <f t="shared" si="182"/>
        <v>R$ 0,00</v>
      </c>
      <c r="I1794" t="str">
        <f>"R$ 1.375,00"</f>
        <v>R$ 1.375,00</v>
      </c>
      <c r="J1794" t="str">
        <f>"R$ 384,40"</f>
        <v>R$ 384,40</v>
      </c>
      <c r="K1794" t="str">
        <f>"R$ 990,60"</f>
        <v>R$ 990,60</v>
      </c>
    </row>
    <row r="1795" spans="1:11" x14ac:dyDescent="0.25">
      <c r="A1795" t="str">
        <f>"00275280 / 1"</f>
        <v>00275280 / 1</v>
      </c>
      <c r="B1795" t="str">
        <f>"13° Salário Anual"</f>
        <v>13° Salário Anual</v>
      </c>
      <c r="C1795" t="str">
        <f>"Regina de Nazare Oliveira de Sena"</f>
        <v>Regina de Nazare Oliveira de Sena</v>
      </c>
      <c r="D1795" t="str">
        <f>"PROFESSOR"</f>
        <v>PROFESSOR</v>
      </c>
      <c r="E1795" t="str">
        <f>"Efetivo-Inativo I- RJUSM"</f>
        <v>Efetivo-Inativo I- RJUSM</v>
      </c>
      <c r="F1795" t="str">
        <f>"R$ 2.071,51"</f>
        <v>R$ 2.071,51</v>
      </c>
      <c r="G1795" t="str">
        <f>"R$ 2.589,38"</f>
        <v>R$ 2.589,38</v>
      </c>
      <c r="H1795" t="str">
        <f t="shared" si="182"/>
        <v>R$ 0,00</v>
      </c>
      <c r="I1795" t="str">
        <f>"R$ 2.589,38"</f>
        <v>R$ 2.589,38</v>
      </c>
      <c r="J1795" t="str">
        <f>"R$ 1.294,69"</f>
        <v>R$ 1.294,69</v>
      </c>
      <c r="K1795" t="str">
        <f>"R$ 1.294,69"</f>
        <v>R$ 1.294,69</v>
      </c>
    </row>
    <row r="1796" spans="1:11" x14ac:dyDescent="0.25">
      <c r="A1796" t="str">
        <f>"00275280 / 1"</f>
        <v>00275280 / 1</v>
      </c>
      <c r="B1796" t="str">
        <f>"Folha Mensal"</f>
        <v>Folha Mensal</v>
      </c>
      <c r="C1796" t="str">
        <f>"Regina de Nazare Oliveira de Sena"</f>
        <v>Regina de Nazare Oliveira de Sena</v>
      </c>
      <c r="D1796" t="str">
        <f>"PROFESSOR"</f>
        <v>PROFESSOR</v>
      </c>
      <c r="E1796" t="str">
        <f>"Efetivo-Inativo I- RJUSM"</f>
        <v>Efetivo-Inativo I- RJUSM</v>
      </c>
      <c r="F1796" t="str">
        <f>"R$ 2.071,51"</f>
        <v>R$ 2.071,51</v>
      </c>
      <c r="G1796" t="str">
        <f>"R$ 2.589,38"</f>
        <v>R$ 2.589,38</v>
      </c>
      <c r="H1796" t="str">
        <f t="shared" si="182"/>
        <v>R$ 0,00</v>
      </c>
      <c r="I1796" t="str">
        <f>"R$ 2.589,38"</f>
        <v>R$ 2.589,38</v>
      </c>
      <c r="J1796" t="str">
        <f>"R$ 765,58"</f>
        <v>R$ 765,58</v>
      </c>
      <c r="K1796" t="str">
        <f>"R$ 1.823,80"</f>
        <v>R$ 1.823,80</v>
      </c>
    </row>
    <row r="1797" spans="1:11" x14ac:dyDescent="0.25">
      <c r="A1797" t="str">
        <f>"00026689 / 1"</f>
        <v>00026689 / 1</v>
      </c>
      <c r="B1797" t="str">
        <f>"13° Salário Anual"</f>
        <v>13° Salário Anual</v>
      </c>
      <c r="C1797" t="str">
        <f>"Regina Lucia Remedios da Silva"</f>
        <v>Regina Lucia Remedios da Silva</v>
      </c>
      <c r="D1797" t="str">
        <f t="shared" ref="D1797:D1802" si="183">"PROFESSOR NIVEL II"</f>
        <v>PROFESSOR NIVEL II</v>
      </c>
      <c r="E1797" t="str">
        <f t="shared" ref="E1797:E1802" si="184">"Efetivo-Inativos II-RJUSM"</f>
        <v>Efetivo-Inativos II-RJUSM</v>
      </c>
      <c r="F1797" t="str">
        <f>"R$ 5.577,14"</f>
        <v>R$ 5.577,14</v>
      </c>
      <c r="G1797" t="str">
        <f>"R$ 6.971,42"</f>
        <v>R$ 6.971,42</v>
      </c>
      <c r="H1797" t="str">
        <f t="shared" si="182"/>
        <v>R$ 0,00</v>
      </c>
      <c r="I1797" t="str">
        <f>"R$ 6.971,42"</f>
        <v>R$ 6.971,42</v>
      </c>
      <c r="J1797" t="str">
        <f>"R$ 4.621,83"</f>
        <v>R$ 4.621,83</v>
      </c>
      <c r="K1797" t="str">
        <f>"R$ 2.349,59"</f>
        <v>R$ 2.349,59</v>
      </c>
    </row>
    <row r="1798" spans="1:11" x14ac:dyDescent="0.25">
      <c r="A1798" t="str">
        <f>"00026689 / 1"</f>
        <v>00026689 / 1</v>
      </c>
      <c r="B1798" t="str">
        <f>"Folha Mensal"</f>
        <v>Folha Mensal</v>
      </c>
      <c r="C1798" t="str">
        <f>"Regina Lucia Remedios da Silva"</f>
        <v>Regina Lucia Remedios da Silva</v>
      </c>
      <c r="D1798" t="str">
        <f t="shared" si="183"/>
        <v>PROFESSOR NIVEL II</v>
      </c>
      <c r="E1798" t="str">
        <f t="shared" si="184"/>
        <v>Efetivo-Inativos II-RJUSM</v>
      </c>
      <c r="F1798" t="str">
        <f>"R$ 5.577,14"</f>
        <v>R$ 5.577,14</v>
      </c>
      <c r="G1798" t="str">
        <f>"R$ 6.971,42"</f>
        <v>R$ 6.971,42</v>
      </c>
      <c r="H1798" t="str">
        <f t="shared" si="182"/>
        <v>R$ 0,00</v>
      </c>
      <c r="I1798" t="str">
        <f>"R$ 6.971,42"</f>
        <v>R$ 6.971,42</v>
      </c>
      <c r="J1798" t="str">
        <f>"R$ 1.136,12"</f>
        <v>R$ 1.136,12</v>
      </c>
      <c r="K1798" t="str">
        <f>"R$ 5.835,30"</f>
        <v>R$ 5.835,30</v>
      </c>
    </row>
    <row r="1799" spans="1:11" x14ac:dyDescent="0.25">
      <c r="A1799" t="str">
        <f>"00024570 / 1"</f>
        <v>00024570 / 1</v>
      </c>
      <c r="B1799" t="str">
        <f>"13° Salário Anual"</f>
        <v>13° Salário Anual</v>
      </c>
      <c r="C1799" t="str">
        <f>"Regina Maria Chavante de Sousa"</f>
        <v>Regina Maria Chavante de Sousa</v>
      </c>
      <c r="D1799" t="str">
        <f t="shared" si="183"/>
        <v>PROFESSOR NIVEL II</v>
      </c>
      <c r="E1799" t="str">
        <f t="shared" si="184"/>
        <v>Efetivo-Inativos II-RJUSM</v>
      </c>
      <c r="F1799" t="str">
        <f>"R$ 5.736,47"</f>
        <v>R$ 5.736,47</v>
      </c>
      <c r="G1799" t="str">
        <f>"R$ 7.457,41"</f>
        <v>R$ 7.457,41</v>
      </c>
      <c r="H1799" t="str">
        <f t="shared" si="182"/>
        <v>R$ 0,00</v>
      </c>
      <c r="I1799" t="str">
        <f>"R$ 7.457,41"</f>
        <v>R$ 7.457,41</v>
      </c>
      <c r="J1799" t="str">
        <f>"R$ 5.047,79"</f>
        <v>R$ 5.047,79</v>
      </c>
      <c r="K1799" t="str">
        <f>"R$ 2.409,62"</f>
        <v>R$ 2.409,62</v>
      </c>
    </row>
    <row r="1800" spans="1:11" x14ac:dyDescent="0.25">
      <c r="A1800" t="str">
        <f>"00024570 / 1"</f>
        <v>00024570 / 1</v>
      </c>
      <c r="B1800" t="str">
        <f>"Folha Mensal"</f>
        <v>Folha Mensal</v>
      </c>
      <c r="C1800" t="str">
        <f>"Regina Maria Chavante de Sousa"</f>
        <v>Regina Maria Chavante de Sousa</v>
      </c>
      <c r="D1800" t="str">
        <f t="shared" si="183"/>
        <v>PROFESSOR NIVEL II</v>
      </c>
      <c r="E1800" t="str">
        <f t="shared" si="184"/>
        <v>Efetivo-Inativos II-RJUSM</v>
      </c>
      <c r="F1800" t="str">
        <f>"R$ 5.736,47"</f>
        <v>R$ 5.736,47</v>
      </c>
      <c r="G1800" t="str">
        <f>"R$ 7.457,41"</f>
        <v>R$ 7.457,41</v>
      </c>
      <c r="H1800" t="str">
        <f t="shared" si="182"/>
        <v>R$ 0,00</v>
      </c>
      <c r="I1800" t="str">
        <f>"R$ 7.457,41"</f>
        <v>R$ 7.457,41</v>
      </c>
      <c r="J1800" t="str">
        <f>"R$ 2.764,68"</f>
        <v>R$ 2.764,68</v>
      </c>
      <c r="K1800" t="str">
        <f>"R$ 4.692,73"</f>
        <v>R$ 4.692,73</v>
      </c>
    </row>
    <row r="1801" spans="1:11" x14ac:dyDescent="0.25">
      <c r="A1801" t="str">
        <f>"00005215 / 2"</f>
        <v>00005215 / 2</v>
      </c>
      <c r="B1801" t="str">
        <f>"13° Salário Anual"</f>
        <v>13° Salário Anual</v>
      </c>
      <c r="C1801" t="str">
        <f>"Regina Melo dos Reis"</f>
        <v>Regina Melo dos Reis</v>
      </c>
      <c r="D1801" t="str">
        <f t="shared" si="183"/>
        <v>PROFESSOR NIVEL II</v>
      </c>
      <c r="E1801" t="str">
        <f t="shared" si="184"/>
        <v>Efetivo-Inativos II-RJUSM</v>
      </c>
      <c r="F1801" t="str">
        <f>"R$ 5.577,14"</f>
        <v>R$ 5.577,14</v>
      </c>
      <c r="G1801" t="str">
        <f>"R$ 7.250,28"</f>
        <v>R$ 7.250,28</v>
      </c>
      <c r="H1801" t="str">
        <f t="shared" si="182"/>
        <v>R$ 0,00</v>
      </c>
      <c r="I1801" t="str">
        <f>"R$ 7.250,28"</f>
        <v>R$ 7.250,28</v>
      </c>
      <c r="J1801" t="str">
        <f>"R$ 4.866,25"</f>
        <v>R$ 4.866,25</v>
      </c>
      <c r="K1801" t="str">
        <f>"R$ 2.384,03"</f>
        <v>R$ 2.384,03</v>
      </c>
    </row>
    <row r="1802" spans="1:11" x14ac:dyDescent="0.25">
      <c r="A1802" t="str">
        <f>"00005215 / 2"</f>
        <v>00005215 / 2</v>
      </c>
      <c r="B1802" t="str">
        <f>"Folha Mensal"</f>
        <v>Folha Mensal</v>
      </c>
      <c r="C1802" t="str">
        <f>"Regina Melo dos Reis"</f>
        <v>Regina Melo dos Reis</v>
      </c>
      <c r="D1802" t="str">
        <f t="shared" si="183"/>
        <v>PROFESSOR NIVEL II</v>
      </c>
      <c r="E1802" t="str">
        <f t="shared" si="184"/>
        <v>Efetivo-Inativos II-RJUSM</v>
      </c>
      <c r="F1802" t="str">
        <f>"R$ 5.577,14"</f>
        <v>R$ 5.577,14</v>
      </c>
      <c r="G1802" t="str">
        <f>"R$ 7.250,28"</f>
        <v>R$ 7.250,28</v>
      </c>
      <c r="H1802" t="str">
        <f t="shared" si="182"/>
        <v>R$ 0,00</v>
      </c>
      <c r="I1802" t="str">
        <f>"R$ 7.250,28"</f>
        <v>R$ 7.250,28</v>
      </c>
      <c r="J1802" t="str">
        <f>"R$ 1.241,11"</f>
        <v>R$ 1.241,11</v>
      </c>
      <c r="K1802" t="str">
        <f>"R$ 6.009,17"</f>
        <v>R$ 6.009,17</v>
      </c>
    </row>
    <row r="1803" spans="1:11" x14ac:dyDescent="0.25">
      <c r="A1803" t="str">
        <f>"00009385 / 1"</f>
        <v>00009385 / 1</v>
      </c>
      <c r="B1803" t="str">
        <f>"13° Salário Anual"</f>
        <v>13° Salário Anual</v>
      </c>
      <c r="C1803" t="str">
        <f>"Regina Miranda de Oliveira"</f>
        <v>Regina Miranda de Oliveira</v>
      </c>
      <c r="D1803" t="str">
        <f>"INT TEMP CONTRIBUICAO"</f>
        <v>INT TEMP CONTRIBUICAO</v>
      </c>
      <c r="E1803" t="str">
        <f>"Efetivo-Inativo I- RJUSM"</f>
        <v>Efetivo-Inativo I- RJUSM</v>
      </c>
      <c r="F1803" t="str">
        <f>"R$ 1.100,00"</f>
        <v>R$ 1.100,00</v>
      </c>
      <c r="G1803" t="str">
        <f>"R$ 1.320,00"</f>
        <v>R$ 1.320,00</v>
      </c>
      <c r="H1803" t="str">
        <f t="shared" si="182"/>
        <v>R$ 0,00</v>
      </c>
      <c r="I1803" t="str">
        <f>"R$ 1.320,00"</f>
        <v>R$ 1.320,00</v>
      </c>
      <c r="J1803" t="str">
        <f>"R$ 660,00"</f>
        <v>R$ 660,00</v>
      </c>
      <c r="K1803" t="str">
        <f>"R$ 660,00"</f>
        <v>R$ 660,00</v>
      </c>
    </row>
    <row r="1804" spans="1:11" x14ac:dyDescent="0.25">
      <c r="A1804" t="str">
        <f>"00009385 / 1"</f>
        <v>00009385 / 1</v>
      </c>
      <c r="B1804" t="str">
        <f>"Folha Mensal"</f>
        <v>Folha Mensal</v>
      </c>
      <c r="C1804" t="str">
        <f>"Regina Miranda de Oliveira"</f>
        <v>Regina Miranda de Oliveira</v>
      </c>
      <c r="D1804" t="str">
        <f>"INT TEMP CONTRIBUICAO"</f>
        <v>INT TEMP CONTRIBUICAO</v>
      </c>
      <c r="E1804" t="str">
        <f>"Efetivo-Inativo I- RJUSM"</f>
        <v>Efetivo-Inativo I- RJUSM</v>
      </c>
      <c r="F1804" t="str">
        <f>"R$ 1.100,00"</f>
        <v>R$ 1.100,00</v>
      </c>
      <c r="G1804" t="str">
        <f>"R$ 1.320,00"</f>
        <v>R$ 1.320,00</v>
      </c>
      <c r="H1804" t="str">
        <f t="shared" si="182"/>
        <v>R$ 0,00</v>
      </c>
      <c r="I1804" t="str">
        <f>"R$ 1.320,00"</f>
        <v>R$ 1.320,00</v>
      </c>
      <c r="J1804" t="str">
        <f>"R$ 0,00"</f>
        <v>R$ 0,00</v>
      </c>
      <c r="K1804" t="str">
        <f>"R$ 1.320,00"</f>
        <v>R$ 1.320,00</v>
      </c>
    </row>
    <row r="1805" spans="1:11" x14ac:dyDescent="0.25">
      <c r="A1805" t="str">
        <f>"03641589 / 1"</f>
        <v>03641589 / 1</v>
      </c>
      <c r="B1805" t="str">
        <f>"13° Salário Anual"</f>
        <v>13° Salário Anual</v>
      </c>
      <c r="C1805" t="str">
        <f>"Renan Matos dos Santos"</f>
        <v>Renan Matos dos Santos</v>
      </c>
      <c r="D1805" t="str">
        <f>"PENS TEMP ATE19/12/23"</f>
        <v>PENS TEMP ATE19/12/23</v>
      </c>
      <c r="E1805" t="str">
        <f t="shared" ref="E1805:E1810" si="185">"Pensionista"</f>
        <v>Pensionista</v>
      </c>
      <c r="F1805" t="str">
        <f>"R$ 550,00"</f>
        <v>R$ 550,00</v>
      </c>
      <c r="G1805" t="str">
        <f>"R$ 660,00"</f>
        <v>R$ 660,00</v>
      </c>
      <c r="H1805" t="str">
        <f t="shared" si="182"/>
        <v>R$ 0,00</v>
      </c>
      <c r="I1805" t="str">
        <f>"R$ 660,00"</f>
        <v>R$ 660,00</v>
      </c>
      <c r="J1805" t="str">
        <f>"R$ 330,00"</f>
        <v>R$ 330,00</v>
      </c>
      <c r="K1805" t="str">
        <f>"R$ 330,00"</f>
        <v>R$ 330,00</v>
      </c>
    </row>
    <row r="1806" spans="1:11" x14ac:dyDescent="0.25">
      <c r="A1806" t="str">
        <f>"03641589 / 1"</f>
        <v>03641589 / 1</v>
      </c>
      <c r="B1806" t="str">
        <f>"Folha Mensal"</f>
        <v>Folha Mensal</v>
      </c>
      <c r="C1806" t="str">
        <f>"Renan Matos dos Santos"</f>
        <v>Renan Matos dos Santos</v>
      </c>
      <c r="D1806" t="str">
        <f>"PENS TEMP ATE19/12/23"</f>
        <v>PENS TEMP ATE19/12/23</v>
      </c>
      <c r="E1806" t="str">
        <f t="shared" si="185"/>
        <v>Pensionista</v>
      </c>
      <c r="F1806" t="str">
        <f>"R$ 550,00"</f>
        <v>R$ 550,00</v>
      </c>
      <c r="G1806" t="str">
        <f>"R$ 660,00"</f>
        <v>R$ 660,00</v>
      </c>
      <c r="H1806" t="str">
        <f t="shared" si="182"/>
        <v>R$ 0,00</v>
      </c>
      <c r="I1806" t="str">
        <f>"R$ 660,00"</f>
        <v>R$ 660,00</v>
      </c>
      <c r="J1806" t="str">
        <f>"R$ 0,00"</f>
        <v>R$ 0,00</v>
      </c>
      <c r="K1806" t="str">
        <f>"R$ 660,00"</f>
        <v>R$ 660,00</v>
      </c>
    </row>
    <row r="1807" spans="1:11" x14ac:dyDescent="0.25">
      <c r="A1807" t="str">
        <f>"03640345 / 1"</f>
        <v>03640345 / 1</v>
      </c>
      <c r="B1807" t="str">
        <f>"13° Salário Anual"</f>
        <v>13° Salário Anual</v>
      </c>
      <c r="C1807" t="str">
        <f>"Renato Rangel de Lima"</f>
        <v>Renato Rangel de Lima</v>
      </c>
      <c r="D1807" t="str">
        <f>"PENSIONISTA DE PROFESSOR"</f>
        <v>PENSIONISTA DE PROFESSOR</v>
      </c>
      <c r="E1807" t="str">
        <f t="shared" si="185"/>
        <v>Pensionista</v>
      </c>
      <c r="F1807" t="str">
        <f>"R$ 874,74"</f>
        <v>R$ 874,74</v>
      </c>
      <c r="G1807" t="str">
        <f>"R$ 874,74"</f>
        <v>R$ 874,74</v>
      </c>
      <c r="H1807" t="str">
        <f t="shared" si="182"/>
        <v>R$ 0,00</v>
      </c>
      <c r="I1807" t="str">
        <f>"R$ 874,74"</f>
        <v>R$ 874,74</v>
      </c>
      <c r="J1807" t="str">
        <f>"R$ 437,37"</f>
        <v>R$ 437,37</v>
      </c>
      <c r="K1807" t="str">
        <f>"R$ 437,37"</f>
        <v>R$ 437,37</v>
      </c>
    </row>
    <row r="1808" spans="1:11" x14ac:dyDescent="0.25">
      <c r="A1808" t="str">
        <f>"03640345 / 1"</f>
        <v>03640345 / 1</v>
      </c>
      <c r="B1808" t="str">
        <f>"Folha Mensal"</f>
        <v>Folha Mensal</v>
      </c>
      <c r="C1808" t="str">
        <f>"Renato Rangel de Lima"</f>
        <v>Renato Rangel de Lima</v>
      </c>
      <c r="D1808" t="str">
        <f>"PENSIONISTA DE PROFESSOR"</f>
        <v>PENSIONISTA DE PROFESSOR</v>
      </c>
      <c r="E1808" t="str">
        <f t="shared" si="185"/>
        <v>Pensionista</v>
      </c>
      <c r="F1808" t="str">
        <f>"R$ 874,74"</f>
        <v>R$ 874,74</v>
      </c>
      <c r="G1808" t="str">
        <f>"R$ 874,74"</f>
        <v>R$ 874,74</v>
      </c>
      <c r="H1808" t="str">
        <f t="shared" si="182"/>
        <v>R$ 0,00</v>
      </c>
      <c r="I1808" t="str">
        <f>"R$ 874,74"</f>
        <v>R$ 874,74</v>
      </c>
      <c r="J1808" t="str">
        <f>"R$ 0,00"</f>
        <v>R$ 0,00</v>
      </c>
      <c r="K1808" t="str">
        <f>"R$ 874,74"</f>
        <v>R$ 874,74</v>
      </c>
    </row>
    <row r="1809" spans="1:11" x14ac:dyDescent="0.25">
      <c r="A1809" t="str">
        <f>"03640892 / 1"</f>
        <v>03640892 / 1</v>
      </c>
      <c r="B1809" t="str">
        <f>"13° Salário Anual"</f>
        <v>13° Salário Anual</v>
      </c>
      <c r="C1809" t="str">
        <f>"Rennicy Porto"</f>
        <v>Rennicy Porto</v>
      </c>
      <c r="D1809" t="str">
        <f>"PENSIONISTA"</f>
        <v>PENSIONISTA</v>
      </c>
      <c r="E1809" t="str">
        <f t="shared" si="185"/>
        <v>Pensionista</v>
      </c>
      <c r="F1809" t="str">
        <f>"R$ 1.583,85"</f>
        <v>R$ 1.583,85</v>
      </c>
      <c r="G1809" t="str">
        <f>"R$ 1.583,85"</f>
        <v>R$ 1.583,85</v>
      </c>
      <c r="H1809" t="str">
        <f t="shared" si="182"/>
        <v>R$ 0,00</v>
      </c>
      <c r="I1809" t="str">
        <f>"R$ 1.583,85"</f>
        <v>R$ 1.583,85</v>
      </c>
      <c r="J1809" t="str">
        <f>"R$ 791,92"</f>
        <v>R$ 791,92</v>
      </c>
      <c r="K1809" t="str">
        <f>"R$ 791,93"</f>
        <v>R$ 791,93</v>
      </c>
    </row>
    <row r="1810" spans="1:11" x14ac:dyDescent="0.25">
      <c r="A1810" t="str">
        <f>"03640892 / 1"</f>
        <v>03640892 / 1</v>
      </c>
      <c r="B1810" t="str">
        <f>"Folha Mensal"</f>
        <v>Folha Mensal</v>
      </c>
      <c r="C1810" t="str">
        <f>"Rennicy Porto"</f>
        <v>Rennicy Porto</v>
      </c>
      <c r="D1810" t="str">
        <f>"PENSIONISTA"</f>
        <v>PENSIONISTA</v>
      </c>
      <c r="E1810" t="str">
        <f t="shared" si="185"/>
        <v>Pensionista</v>
      </c>
      <c r="F1810" t="str">
        <f>"R$ 1.583,85"</f>
        <v>R$ 1.583,85</v>
      </c>
      <c r="G1810" t="str">
        <f>"R$ 1.583,85"</f>
        <v>R$ 1.583,85</v>
      </c>
      <c r="H1810" t="str">
        <f t="shared" si="182"/>
        <v>R$ 0,00</v>
      </c>
      <c r="I1810" t="str">
        <f>"R$ 1.583,85"</f>
        <v>R$ 1.583,85</v>
      </c>
      <c r="J1810" t="str">
        <f>"R$ 538,70"</f>
        <v>R$ 538,70</v>
      </c>
      <c r="K1810" t="str">
        <f>"R$ 1.045,15"</f>
        <v>R$ 1.045,15</v>
      </c>
    </row>
    <row r="1811" spans="1:11" x14ac:dyDescent="0.25">
      <c r="A1811" t="str">
        <f>"03641449 / 1"</f>
        <v>03641449 / 1</v>
      </c>
      <c r="B1811" t="str">
        <f>"13° Salário Anual"</f>
        <v>13° Salário Anual</v>
      </c>
      <c r="C1811" t="str">
        <f>"Ricardo Augusto Amanajas da Costa Silva"</f>
        <v>Ricardo Augusto Amanajas da Costa Silva</v>
      </c>
      <c r="D1811" t="str">
        <f>"DAS 06"</f>
        <v>DAS 06</v>
      </c>
      <c r="E1811" t="str">
        <f>"Comissionado"</f>
        <v>Comissionado</v>
      </c>
      <c r="F1811" t="str">
        <f>"R$ 2.427,00"</f>
        <v>R$ 2.427,00</v>
      </c>
      <c r="G1811" t="str">
        <f>"R$ 1.213,50"</f>
        <v>R$ 1.213,50</v>
      </c>
      <c r="H1811" t="str">
        <f t="shared" si="182"/>
        <v>R$ 0,00</v>
      </c>
      <c r="I1811" t="str">
        <f>"R$ 1.213,50"</f>
        <v>R$ 1.213,50</v>
      </c>
      <c r="J1811" t="str">
        <f>"R$ 699,46"</f>
        <v>R$ 699,46</v>
      </c>
      <c r="K1811" t="str">
        <f>"R$ 514,04"</f>
        <v>R$ 514,04</v>
      </c>
    </row>
    <row r="1812" spans="1:11" x14ac:dyDescent="0.25">
      <c r="A1812" t="str">
        <f>"03641449 / 1"</f>
        <v>03641449 / 1</v>
      </c>
      <c r="B1812" t="str">
        <f>"Folha Mensal"</f>
        <v>Folha Mensal</v>
      </c>
      <c r="C1812" t="str">
        <f>"Ricardo Augusto Amanajas da Costa Silva"</f>
        <v>Ricardo Augusto Amanajas da Costa Silva</v>
      </c>
      <c r="D1812" t="str">
        <f>"DAS 06"</f>
        <v>DAS 06</v>
      </c>
      <c r="E1812" t="str">
        <f>"Comissionado"</f>
        <v>Comissionado</v>
      </c>
      <c r="F1812" t="str">
        <f>"R$ 2.427,00"</f>
        <v>R$ 2.427,00</v>
      </c>
      <c r="G1812" t="str">
        <f>"R$ 2.427,00"</f>
        <v>R$ 2.427,00</v>
      </c>
      <c r="H1812" t="str">
        <f>"R$ 144,00"</f>
        <v>R$ 144,00</v>
      </c>
      <c r="I1812" t="str">
        <f>"R$ 2.571,00"</f>
        <v>R$ 2.571,00</v>
      </c>
      <c r="J1812" t="str">
        <f>"R$ 377,82"</f>
        <v>R$ 377,82</v>
      </c>
      <c r="K1812" t="str">
        <f>"R$ 2.193,18"</f>
        <v>R$ 2.193,18</v>
      </c>
    </row>
    <row r="1813" spans="1:11" x14ac:dyDescent="0.25">
      <c r="A1813" t="str">
        <f>"00006599 / 1"</f>
        <v>00006599 / 1</v>
      </c>
      <c r="B1813" t="str">
        <f>"13° Salário Anual"</f>
        <v>13° Salário Anual</v>
      </c>
      <c r="C1813" t="str">
        <f>"Rita Barbosa de Oliveira"</f>
        <v>Rita Barbosa de Oliveira</v>
      </c>
      <c r="D1813" t="str">
        <f>"PROFESSOR NIVEL II"</f>
        <v>PROFESSOR NIVEL II</v>
      </c>
      <c r="E1813" t="str">
        <f>"Efetivo-Inativo I- RJUSM"</f>
        <v>Efetivo-Inativo I- RJUSM</v>
      </c>
      <c r="F1813" t="str">
        <f>"R$ 4.143,03"</f>
        <v>R$ 4.143,03</v>
      </c>
      <c r="G1813" t="str">
        <f>"R$ 5.178,78"</f>
        <v>R$ 5.178,78</v>
      </c>
      <c r="H1813" t="str">
        <f t="shared" ref="H1813:H1844" si="186">"R$ 0,00"</f>
        <v>R$ 0,00</v>
      </c>
      <c r="I1813" t="str">
        <f>"R$ 5.178,78"</f>
        <v>R$ 5.178,78</v>
      </c>
      <c r="J1813" t="str">
        <f>"R$ 3.144,19"</f>
        <v>R$ 3.144,19</v>
      </c>
      <c r="K1813" t="str">
        <f>"R$ 2.034,59"</f>
        <v>R$ 2.034,59</v>
      </c>
    </row>
    <row r="1814" spans="1:11" x14ac:dyDescent="0.25">
      <c r="A1814" t="str">
        <f>"00006599 / 1"</f>
        <v>00006599 / 1</v>
      </c>
      <c r="B1814" t="str">
        <f>"Folha Mensal"</f>
        <v>Folha Mensal</v>
      </c>
      <c r="C1814" t="str">
        <f>"Rita Barbosa de Oliveira"</f>
        <v>Rita Barbosa de Oliveira</v>
      </c>
      <c r="D1814" t="str">
        <f>"PROFESSOR NIVEL II"</f>
        <v>PROFESSOR NIVEL II</v>
      </c>
      <c r="E1814" t="str">
        <f>"Efetivo-Inativo I- RJUSM"</f>
        <v>Efetivo-Inativo I- RJUSM</v>
      </c>
      <c r="F1814" t="str">
        <f>"R$ 4.143,03"</f>
        <v>R$ 4.143,03</v>
      </c>
      <c r="G1814" t="str">
        <f>"R$ 5.178,78"</f>
        <v>R$ 5.178,78</v>
      </c>
      <c r="H1814" t="str">
        <f t="shared" si="186"/>
        <v>R$ 0,00</v>
      </c>
      <c r="I1814" t="str">
        <f>"R$ 5.178,78"</f>
        <v>R$ 5.178,78</v>
      </c>
      <c r="J1814" t="str">
        <f>"R$ 2.166,49"</f>
        <v>R$ 2.166,49</v>
      </c>
      <c r="K1814" t="str">
        <f>"R$ 3.012,29"</f>
        <v>R$ 3.012,29</v>
      </c>
    </row>
    <row r="1815" spans="1:11" x14ac:dyDescent="0.25">
      <c r="A1815" t="str">
        <f>"03641902 / 1"</f>
        <v>03641902 / 1</v>
      </c>
      <c r="B1815" t="str">
        <f>"13° Salário Anual"</f>
        <v>13° Salário Anual</v>
      </c>
      <c r="C1815" t="str">
        <f>"Rita de Cassia da Silva"</f>
        <v>Rita de Cassia da Silva</v>
      </c>
      <c r="D1815" t="str">
        <f>"PROFESSOR NIVEL III_"</f>
        <v>PROFESSOR NIVEL III_</v>
      </c>
      <c r="E1815" t="str">
        <f>"Efetivo-Inativos II-RJUSM"</f>
        <v>Efetivo-Inativos II-RJUSM</v>
      </c>
      <c r="F1815" t="str">
        <f>"R$ 3.728,70"</f>
        <v>R$ 3.728,70</v>
      </c>
      <c r="G1815" t="str">
        <f>"R$ 994,32"</f>
        <v>R$ 994,32</v>
      </c>
      <c r="H1815" t="str">
        <f t="shared" si="186"/>
        <v>R$ 0,00</v>
      </c>
      <c r="I1815" t="str">
        <f>"R$ 994,32"</f>
        <v>R$ 994,32</v>
      </c>
      <c r="J1815" t="str">
        <f>"R$ 0,00"</f>
        <v>R$ 0,00</v>
      </c>
      <c r="K1815" t="str">
        <f>"R$ 994,32"</f>
        <v>R$ 994,32</v>
      </c>
    </row>
    <row r="1816" spans="1:11" x14ac:dyDescent="0.25">
      <c r="A1816" t="str">
        <f>"03641902 / 1"</f>
        <v>03641902 / 1</v>
      </c>
      <c r="B1816" t="str">
        <f>"Folha Mensal"</f>
        <v>Folha Mensal</v>
      </c>
      <c r="C1816" t="str">
        <f>"Rita de Cassia da Silva"</f>
        <v>Rita de Cassia da Silva</v>
      </c>
      <c r="D1816" t="str">
        <f>"PROFESSOR NIVEL III_"</f>
        <v>PROFESSOR NIVEL III_</v>
      </c>
      <c r="E1816" t="str">
        <f>"Efetivo-Inativos II-RJUSM"</f>
        <v>Efetivo-Inativos II-RJUSM</v>
      </c>
      <c r="F1816" t="str">
        <f>"R$ 3.728,70"</f>
        <v>R$ 3.728,70</v>
      </c>
      <c r="G1816" t="str">
        <f>"R$ 7.457,40"</f>
        <v>R$ 7.457,40</v>
      </c>
      <c r="H1816" t="str">
        <f t="shared" si="186"/>
        <v>R$ 0,00</v>
      </c>
      <c r="I1816" t="str">
        <f>"R$ 7.457,40"</f>
        <v>R$ 7.457,40</v>
      </c>
      <c r="J1816" t="str">
        <f>"R$ 1.319,08"</f>
        <v>R$ 1.319,08</v>
      </c>
      <c r="K1816" t="str">
        <f>"R$ 6.138,32"</f>
        <v>R$ 6.138,32</v>
      </c>
    </row>
    <row r="1817" spans="1:11" x14ac:dyDescent="0.25">
      <c r="A1817" t="str">
        <f>"00166987 / 2"</f>
        <v>00166987 / 2</v>
      </c>
      <c r="B1817" t="str">
        <f>"13° Salário Anual"</f>
        <v>13° Salário Anual</v>
      </c>
      <c r="C1817" t="str">
        <f>"Rita de Cassia Gomes de Almeida"</f>
        <v>Rita de Cassia Gomes de Almeida</v>
      </c>
      <c r="D1817" t="str">
        <f>"AUXILIAR MUNICIPAL"</f>
        <v>AUXILIAR MUNICIPAL</v>
      </c>
      <c r="E1817" t="str">
        <f>"Efetivo-Inativos II-RJUSM"</f>
        <v>Efetivo-Inativos II-RJUSM</v>
      </c>
      <c r="F1817" t="str">
        <f>"R$ 1.100,00"</f>
        <v>R$ 1.100,00</v>
      </c>
      <c r="G1817" t="str">
        <f>"R$ 201,66"</f>
        <v>R$ 201,66</v>
      </c>
      <c r="H1817" t="str">
        <f t="shared" si="186"/>
        <v>R$ 0,00</v>
      </c>
      <c r="I1817" t="str">
        <f>"R$ 201,66"</f>
        <v>R$ 201,66</v>
      </c>
      <c r="J1817" t="str">
        <f>"R$ 0,00"</f>
        <v>R$ 0,00</v>
      </c>
      <c r="K1817" t="str">
        <f>"R$ 201,66"</f>
        <v>R$ 201,66</v>
      </c>
    </row>
    <row r="1818" spans="1:11" x14ac:dyDescent="0.25">
      <c r="A1818" t="str">
        <f>"00166987 / 2"</f>
        <v>00166987 / 2</v>
      </c>
      <c r="B1818" t="str">
        <f>"Folha Mensal"</f>
        <v>Folha Mensal</v>
      </c>
      <c r="C1818" t="str">
        <f>"Rita de Cassia Gomes de Almeida"</f>
        <v>Rita de Cassia Gomes de Almeida</v>
      </c>
      <c r="D1818" t="str">
        <f>"AUXILIAR MUNICIPAL"</f>
        <v>AUXILIAR MUNICIPAL</v>
      </c>
      <c r="E1818" t="str">
        <f>"Efetivo-Inativos II-RJUSM"</f>
        <v>Efetivo-Inativos II-RJUSM</v>
      </c>
      <c r="F1818" t="str">
        <f>"R$ 1.100,00"</f>
        <v>R$ 1.100,00</v>
      </c>
      <c r="G1818" t="str">
        <f>"R$ 1.210,00"</f>
        <v>R$ 1.210,00</v>
      </c>
      <c r="H1818" t="str">
        <f t="shared" si="186"/>
        <v>R$ 0,00</v>
      </c>
      <c r="I1818" t="str">
        <f>"R$ 1.210,00"</f>
        <v>R$ 1.210,00</v>
      </c>
      <c r="J1818" t="str">
        <f>"R$ 0,00"</f>
        <v>R$ 0,00</v>
      </c>
      <c r="K1818" t="str">
        <f>"R$ 1.210,00"</f>
        <v>R$ 1.210,00</v>
      </c>
    </row>
    <row r="1819" spans="1:11" x14ac:dyDescent="0.25">
      <c r="A1819" t="str">
        <f>"00031879 / 1"</f>
        <v>00031879 / 1</v>
      </c>
      <c r="B1819" t="str">
        <f>"13° Salário Anual"</f>
        <v>13° Salário Anual</v>
      </c>
      <c r="C1819" t="str">
        <f>"Rita de Kassia Barros de Miranda"</f>
        <v>Rita de Kassia Barros de Miranda</v>
      </c>
      <c r="D1819" t="str">
        <f>"PROFESSOR NIVEL I"</f>
        <v>PROFESSOR NIVEL I</v>
      </c>
      <c r="E1819" t="str">
        <f t="shared" ref="E1819:E1826" si="187">"Efetivo-Inativo I- RJUSM"</f>
        <v>Efetivo-Inativo I- RJUSM</v>
      </c>
      <c r="F1819" t="str">
        <f>"R$ 4.461,70"</f>
        <v>R$ 4.461,70</v>
      </c>
      <c r="G1819" t="str">
        <f>"R$ 5.577,12"</f>
        <v>R$ 5.577,12</v>
      </c>
      <c r="H1819" t="str">
        <f t="shared" si="186"/>
        <v>R$ 0,00</v>
      </c>
      <c r="I1819" t="str">
        <f>"R$ 5.577,12"</f>
        <v>R$ 5.577,12</v>
      </c>
      <c r="J1819" t="str">
        <f>"R$ 3.452,90"</f>
        <v>R$ 3.452,90</v>
      </c>
      <c r="K1819" t="str">
        <f>"R$ 2.124,22"</f>
        <v>R$ 2.124,22</v>
      </c>
    </row>
    <row r="1820" spans="1:11" x14ac:dyDescent="0.25">
      <c r="A1820" t="str">
        <f>"00031879 / 1"</f>
        <v>00031879 / 1</v>
      </c>
      <c r="B1820" t="str">
        <f>"Folha Mensal"</f>
        <v>Folha Mensal</v>
      </c>
      <c r="C1820" t="str">
        <f>"Rita de Kassia Barros de Miranda"</f>
        <v>Rita de Kassia Barros de Miranda</v>
      </c>
      <c r="D1820" t="str">
        <f>"PROFESSOR NIVEL I"</f>
        <v>PROFESSOR NIVEL I</v>
      </c>
      <c r="E1820" t="str">
        <f t="shared" si="187"/>
        <v>Efetivo-Inativo I- RJUSM</v>
      </c>
      <c r="F1820" t="str">
        <f>"R$ 4.461,70"</f>
        <v>R$ 4.461,70</v>
      </c>
      <c r="G1820" t="str">
        <f>"R$ 5.577,12"</f>
        <v>R$ 5.577,12</v>
      </c>
      <c r="H1820" t="str">
        <f t="shared" si="186"/>
        <v>R$ 0,00</v>
      </c>
      <c r="I1820" t="str">
        <f>"R$ 5.577,12"</f>
        <v>R$ 5.577,12</v>
      </c>
      <c r="J1820" t="str">
        <f>"R$ 2.377,49"</f>
        <v>R$ 2.377,49</v>
      </c>
      <c r="K1820" t="str">
        <f>"R$ 3.199,63"</f>
        <v>R$ 3.199,63</v>
      </c>
    </row>
    <row r="1821" spans="1:11" x14ac:dyDescent="0.25">
      <c r="A1821" t="str">
        <f>"00031640 / 2"</f>
        <v>00031640 / 2</v>
      </c>
      <c r="B1821" t="str">
        <f>"13° Salário Anual"</f>
        <v>13° Salário Anual</v>
      </c>
      <c r="C1821" t="str">
        <f>"Rita Maria da Silva"</f>
        <v>Rita Maria da Silva</v>
      </c>
      <c r="D1821" t="str">
        <f>"PROFESSOR"</f>
        <v>PROFESSOR</v>
      </c>
      <c r="E1821" t="str">
        <f t="shared" si="187"/>
        <v>Efetivo-Inativo I- RJUSM</v>
      </c>
      <c r="F1821" t="str">
        <f>"R$ 3.616,17"</f>
        <v>R$ 3.616,17</v>
      </c>
      <c r="G1821" t="str">
        <f>"R$ 4.520,21"</f>
        <v>R$ 4.520,21</v>
      </c>
      <c r="H1821" t="str">
        <f t="shared" si="186"/>
        <v>R$ 0,00</v>
      </c>
      <c r="I1821" t="str">
        <f>"R$ 4.520,21"</f>
        <v>R$ 4.520,21</v>
      </c>
      <c r="J1821" t="str">
        <f>"R$ 2.598,35"</f>
        <v>R$ 2.598,35</v>
      </c>
      <c r="K1821" t="str">
        <f>"R$ 1.921,86"</f>
        <v>R$ 1.921,86</v>
      </c>
    </row>
    <row r="1822" spans="1:11" x14ac:dyDescent="0.25">
      <c r="A1822" t="str">
        <f>"00031640 / 2"</f>
        <v>00031640 / 2</v>
      </c>
      <c r="B1822" t="str">
        <f>"Folha Mensal"</f>
        <v>Folha Mensal</v>
      </c>
      <c r="C1822" t="str">
        <f>"Rita Maria da Silva"</f>
        <v>Rita Maria da Silva</v>
      </c>
      <c r="D1822" t="str">
        <f>"PROFESSOR"</f>
        <v>PROFESSOR</v>
      </c>
      <c r="E1822" t="str">
        <f t="shared" si="187"/>
        <v>Efetivo-Inativo I- RJUSM</v>
      </c>
      <c r="F1822" t="str">
        <f>"R$ 3.616,17"</f>
        <v>R$ 3.616,17</v>
      </c>
      <c r="G1822" t="str">
        <f>"R$ 4.520,21"</f>
        <v>R$ 4.520,21</v>
      </c>
      <c r="H1822" t="str">
        <f t="shared" si="186"/>
        <v>R$ 0,00</v>
      </c>
      <c r="I1822" t="str">
        <f>"R$ 4.520,21"</f>
        <v>R$ 4.520,21</v>
      </c>
      <c r="J1822" t="str">
        <f>"R$ 338,25"</f>
        <v>R$ 338,25</v>
      </c>
      <c r="K1822" t="str">
        <f>"R$ 4.181,96"</f>
        <v>R$ 4.181,96</v>
      </c>
    </row>
    <row r="1823" spans="1:11" x14ac:dyDescent="0.25">
      <c r="A1823" t="str">
        <f>"00026271 / 1"</f>
        <v>00026271 / 1</v>
      </c>
      <c r="B1823" t="str">
        <f>"13° Salário Anual"</f>
        <v>13° Salário Anual</v>
      </c>
      <c r="C1823" t="str">
        <f>"Rita Maria de Brito Frazao"</f>
        <v>Rita Maria de Brito Frazao</v>
      </c>
      <c r="D1823" t="str">
        <f>"INT TEMP CONTRIBUICAO"</f>
        <v>INT TEMP CONTRIBUICAO</v>
      </c>
      <c r="E1823" t="str">
        <f t="shared" si="187"/>
        <v>Efetivo-Inativo I- RJUSM</v>
      </c>
      <c r="F1823" t="str">
        <f>"R$ 1.100,00"</f>
        <v>R$ 1.100,00</v>
      </c>
      <c r="G1823" t="str">
        <f>"R$ 1.430,00"</f>
        <v>R$ 1.430,00</v>
      </c>
      <c r="H1823" t="str">
        <f t="shared" si="186"/>
        <v>R$ 0,00</v>
      </c>
      <c r="I1823" t="str">
        <f>"R$ 1.430,00"</f>
        <v>R$ 1.430,00</v>
      </c>
      <c r="J1823" t="str">
        <f>"R$ 715,00"</f>
        <v>R$ 715,00</v>
      </c>
      <c r="K1823" t="str">
        <f>"R$ 715,00"</f>
        <v>R$ 715,00</v>
      </c>
    </row>
    <row r="1824" spans="1:11" x14ac:dyDescent="0.25">
      <c r="A1824" t="str">
        <f>"00026271 / 1"</f>
        <v>00026271 / 1</v>
      </c>
      <c r="B1824" t="str">
        <f>"Folha Mensal"</f>
        <v>Folha Mensal</v>
      </c>
      <c r="C1824" t="str">
        <f>"Rita Maria de Brito Frazao"</f>
        <v>Rita Maria de Brito Frazao</v>
      </c>
      <c r="D1824" t="str">
        <f>"INT TEMP CONTRIBUICAO"</f>
        <v>INT TEMP CONTRIBUICAO</v>
      </c>
      <c r="E1824" t="str">
        <f t="shared" si="187"/>
        <v>Efetivo-Inativo I- RJUSM</v>
      </c>
      <c r="F1824" t="str">
        <f>"R$ 1.100,00"</f>
        <v>R$ 1.100,00</v>
      </c>
      <c r="G1824" t="str">
        <f>"R$ 1.430,00"</f>
        <v>R$ 1.430,00</v>
      </c>
      <c r="H1824" t="str">
        <f t="shared" si="186"/>
        <v>R$ 0,00</v>
      </c>
      <c r="I1824" t="str">
        <f>"R$ 1.430,00"</f>
        <v>R$ 1.430,00</v>
      </c>
      <c r="J1824" t="str">
        <f>"R$ 0,00"</f>
        <v>R$ 0,00</v>
      </c>
      <c r="K1824" t="str">
        <f>"R$ 1.430,00"</f>
        <v>R$ 1.430,00</v>
      </c>
    </row>
    <row r="1825" spans="1:11" x14ac:dyDescent="0.25">
      <c r="A1825" t="str">
        <f>"00053830 / 1"</f>
        <v>00053830 / 1</v>
      </c>
      <c r="B1825" t="str">
        <f>"13° Salário Anual"</f>
        <v>13° Salário Anual</v>
      </c>
      <c r="C1825" t="str">
        <f>"Rivaldo Araujo Diniz"</f>
        <v>Rivaldo Araujo Diniz</v>
      </c>
      <c r="D1825" t="str">
        <f>"INT INVALIDEZ"</f>
        <v>INT INVALIDEZ</v>
      </c>
      <c r="E1825" t="str">
        <f t="shared" si="187"/>
        <v>Efetivo-Inativo I- RJUSM</v>
      </c>
      <c r="F1825" t="str">
        <f>"R$ 1.613,27"</f>
        <v>R$ 1.613,27</v>
      </c>
      <c r="G1825" t="str">
        <f>"R$ 1.693,93"</f>
        <v>R$ 1.693,93</v>
      </c>
      <c r="H1825" t="str">
        <f t="shared" si="186"/>
        <v>R$ 0,00</v>
      </c>
      <c r="I1825" t="str">
        <f>"R$ 1.693,93"</f>
        <v>R$ 1.693,93</v>
      </c>
      <c r="J1825" t="str">
        <f>"R$ 846,96"</f>
        <v>R$ 846,96</v>
      </c>
      <c r="K1825" t="str">
        <f>"R$ 846,97"</f>
        <v>R$ 846,97</v>
      </c>
    </row>
    <row r="1826" spans="1:11" x14ac:dyDescent="0.25">
      <c r="A1826" t="str">
        <f>"00053830 / 1"</f>
        <v>00053830 / 1</v>
      </c>
      <c r="B1826" t="str">
        <f>"Folha Mensal"</f>
        <v>Folha Mensal</v>
      </c>
      <c r="C1826" t="str">
        <f>"Rivaldo Araujo Diniz"</f>
        <v>Rivaldo Araujo Diniz</v>
      </c>
      <c r="D1826" t="str">
        <f>"INT INVALIDEZ"</f>
        <v>INT INVALIDEZ</v>
      </c>
      <c r="E1826" t="str">
        <f t="shared" si="187"/>
        <v>Efetivo-Inativo I- RJUSM</v>
      </c>
      <c r="F1826" t="str">
        <f>"R$ 1.613,27"</f>
        <v>R$ 1.613,27</v>
      </c>
      <c r="G1826" t="str">
        <f>"R$ 1.693,93"</f>
        <v>R$ 1.693,93</v>
      </c>
      <c r="H1826" t="str">
        <f t="shared" si="186"/>
        <v>R$ 0,00</v>
      </c>
      <c r="I1826" t="str">
        <f>"R$ 1.693,93"</f>
        <v>R$ 1.693,93</v>
      </c>
      <c r="J1826" t="str">
        <f>"R$ 0,00"</f>
        <v>R$ 0,00</v>
      </c>
      <c r="K1826" t="str">
        <f>"R$ 1.693,93"</f>
        <v>R$ 1.693,93</v>
      </c>
    </row>
    <row r="1827" spans="1:11" x14ac:dyDescent="0.25">
      <c r="A1827" t="str">
        <f>"03642771 / 1"</f>
        <v>03642771 / 1</v>
      </c>
      <c r="B1827" t="str">
        <f>"13° Salário Anual"</f>
        <v>13° Salário Anual</v>
      </c>
      <c r="C1827" t="str">
        <f>"Rodrigo Evangelista de Carvalho"</f>
        <v>Rodrigo Evangelista de Carvalho</v>
      </c>
      <c r="D1827" t="str">
        <f>"PENSIONISTA"</f>
        <v>PENSIONISTA</v>
      </c>
      <c r="E1827" t="str">
        <f>"Pensionista"</f>
        <v>Pensionista</v>
      </c>
      <c r="F1827" t="str">
        <f>"R$ 1.100,00"</f>
        <v>R$ 1.100,00</v>
      </c>
      <c r="G1827" t="str">
        <f>"R$ 1.375,00"</f>
        <v>R$ 1.375,00</v>
      </c>
      <c r="H1827" t="str">
        <f t="shared" si="186"/>
        <v>R$ 0,00</v>
      </c>
      <c r="I1827" t="str">
        <f>"R$ 1.375,00"</f>
        <v>R$ 1.375,00</v>
      </c>
      <c r="J1827" t="str">
        <f>"R$ 687,50"</f>
        <v>R$ 687,50</v>
      </c>
      <c r="K1827" t="str">
        <f>"R$ 687,50"</f>
        <v>R$ 687,50</v>
      </c>
    </row>
    <row r="1828" spans="1:11" x14ac:dyDescent="0.25">
      <c r="A1828" t="str">
        <f>"03642771 / 1"</f>
        <v>03642771 / 1</v>
      </c>
      <c r="B1828" t="str">
        <f>"Folha Mensal"</f>
        <v>Folha Mensal</v>
      </c>
      <c r="C1828" t="str">
        <f>"Rodrigo Evangelista de Carvalho"</f>
        <v>Rodrigo Evangelista de Carvalho</v>
      </c>
      <c r="D1828" t="str">
        <f>"PENSIONISTA"</f>
        <v>PENSIONISTA</v>
      </c>
      <c r="E1828" t="str">
        <f>"Pensionista"</f>
        <v>Pensionista</v>
      </c>
      <c r="F1828" t="str">
        <f>"R$ 1.100,00"</f>
        <v>R$ 1.100,00</v>
      </c>
      <c r="G1828" t="str">
        <f>"R$ 1.375,00"</f>
        <v>R$ 1.375,00</v>
      </c>
      <c r="H1828" t="str">
        <f t="shared" si="186"/>
        <v>R$ 0,00</v>
      </c>
      <c r="I1828" t="str">
        <f>"R$ 1.375,00"</f>
        <v>R$ 1.375,00</v>
      </c>
      <c r="J1828" t="str">
        <f>"R$ 0,00"</f>
        <v>R$ 0,00</v>
      </c>
      <c r="K1828" t="str">
        <f>"R$ 1.375,00"</f>
        <v>R$ 1.375,00</v>
      </c>
    </row>
    <row r="1829" spans="1:11" x14ac:dyDescent="0.25">
      <c r="A1829" t="str">
        <f>"03640736 / 1"</f>
        <v>03640736 / 1</v>
      </c>
      <c r="B1829" t="str">
        <f>"13° Salário Anual"</f>
        <v>13° Salário Anual</v>
      </c>
      <c r="C1829" t="str">
        <f>"Ronaldo de Proenca Sefer"</f>
        <v>Ronaldo de Proenca Sefer</v>
      </c>
      <c r="D1829" t="str">
        <f>"DAS 08"</f>
        <v>DAS 08</v>
      </c>
      <c r="E1829" t="str">
        <f>"Comissionado"</f>
        <v>Comissionado</v>
      </c>
      <c r="F1829" t="str">
        <f>"R$ 4.200,00"</f>
        <v>R$ 4.200,00</v>
      </c>
      <c r="G1829" t="str">
        <f>"R$ 3.850,00"</f>
        <v>R$ 3.850,00</v>
      </c>
      <c r="H1829" t="str">
        <f t="shared" si="186"/>
        <v>R$ 0,00</v>
      </c>
      <c r="I1829" t="str">
        <f>"R$ 3.850,00"</f>
        <v>R$ 3.850,00</v>
      </c>
      <c r="J1829" t="str">
        <f>"R$ 2.479,42"</f>
        <v>R$ 2.479,42</v>
      </c>
      <c r="K1829" t="str">
        <f>"R$ 1.370,58"</f>
        <v>R$ 1.370,58</v>
      </c>
    </row>
    <row r="1830" spans="1:11" x14ac:dyDescent="0.25">
      <c r="A1830" t="str">
        <f>"03640736 / 1"</f>
        <v>03640736 / 1</v>
      </c>
      <c r="B1830" t="str">
        <f>"Folha Mensal"</f>
        <v>Folha Mensal</v>
      </c>
      <c r="C1830" t="str">
        <f>"Ronaldo de Proenca Sefer"</f>
        <v>Ronaldo de Proenca Sefer</v>
      </c>
      <c r="D1830" t="str">
        <f>"DAS 08"</f>
        <v>DAS 08</v>
      </c>
      <c r="E1830" t="str">
        <f>"Comissionado"</f>
        <v>Comissionado</v>
      </c>
      <c r="F1830" t="str">
        <f>"R$ 4.200,00"</f>
        <v>R$ 4.200,00</v>
      </c>
      <c r="G1830" t="str">
        <f>"R$ 4.200,00"</f>
        <v>R$ 4.200,00</v>
      </c>
      <c r="H1830" t="str">
        <f t="shared" si="186"/>
        <v>R$ 0,00</v>
      </c>
      <c r="I1830" t="str">
        <f>"R$ 4.200,00"</f>
        <v>R$ 4.200,00</v>
      </c>
      <c r="J1830" t="str">
        <f>"R$ 649,30"</f>
        <v>R$ 649,30</v>
      </c>
      <c r="K1830" t="str">
        <f>"R$ 3.550,70"</f>
        <v>R$ 3.550,70</v>
      </c>
    </row>
    <row r="1831" spans="1:11" x14ac:dyDescent="0.25">
      <c r="A1831" t="str">
        <f>"03641830 / 1"</f>
        <v>03641830 / 1</v>
      </c>
      <c r="B1831" t="str">
        <f>"13° Salário Anual"</f>
        <v>13° Salário Anual</v>
      </c>
      <c r="C1831" t="str">
        <f>"Rosa da Paixao Silva"</f>
        <v>Rosa da Paixao Silva</v>
      </c>
      <c r="D1831" t="str">
        <f>"PENSIONISTA"</f>
        <v>PENSIONISTA</v>
      </c>
      <c r="E1831" t="str">
        <f>"Pensionista"</f>
        <v>Pensionista</v>
      </c>
      <c r="F1831" t="str">
        <f>"R$ 1.100,00"</f>
        <v>R$ 1.100,00</v>
      </c>
      <c r="G1831" t="str">
        <f>"R$ 1.100,00"</f>
        <v>R$ 1.100,00</v>
      </c>
      <c r="H1831" t="str">
        <f t="shared" si="186"/>
        <v>R$ 0,00</v>
      </c>
      <c r="I1831" t="str">
        <f>"R$ 1.100,00"</f>
        <v>R$ 1.100,00</v>
      </c>
      <c r="J1831" t="str">
        <f>"R$ 550,00"</f>
        <v>R$ 550,00</v>
      </c>
      <c r="K1831" t="str">
        <f>"R$ 550,00"</f>
        <v>R$ 550,00</v>
      </c>
    </row>
    <row r="1832" spans="1:11" x14ac:dyDescent="0.25">
      <c r="A1832" t="str">
        <f>"03641830 / 1"</f>
        <v>03641830 / 1</v>
      </c>
      <c r="B1832" t="str">
        <f>"Folha Mensal"</f>
        <v>Folha Mensal</v>
      </c>
      <c r="C1832" t="str">
        <f>"Rosa da Paixao Silva"</f>
        <v>Rosa da Paixao Silva</v>
      </c>
      <c r="D1832" t="str">
        <f>"PENSIONISTA"</f>
        <v>PENSIONISTA</v>
      </c>
      <c r="E1832" t="str">
        <f>"Pensionista"</f>
        <v>Pensionista</v>
      </c>
      <c r="F1832" t="str">
        <f>"R$ 1.100,00"</f>
        <v>R$ 1.100,00</v>
      </c>
      <c r="G1832" t="str">
        <f>"R$ 1.100,00"</f>
        <v>R$ 1.100,00</v>
      </c>
      <c r="H1832" t="str">
        <f t="shared" si="186"/>
        <v>R$ 0,00</v>
      </c>
      <c r="I1832" t="str">
        <f>"R$ 1.100,00"</f>
        <v>R$ 1.100,00</v>
      </c>
      <c r="J1832" t="str">
        <f>"R$ 227,19"</f>
        <v>R$ 227,19</v>
      </c>
      <c r="K1832" t="str">
        <f>"R$ 872,81"</f>
        <v>R$ 872,81</v>
      </c>
    </row>
    <row r="1833" spans="1:11" x14ac:dyDescent="0.25">
      <c r="A1833" t="str">
        <f>"00052981 / 1"</f>
        <v>00052981 / 1</v>
      </c>
      <c r="B1833" t="str">
        <f>"13° Salário Anual"</f>
        <v>13° Salário Anual</v>
      </c>
      <c r="C1833" t="str">
        <f>"Rosa Irene Frazao Henriques"</f>
        <v>Rosa Irene Frazao Henriques</v>
      </c>
      <c r="D1833" t="str">
        <f>"PROFESSOR NIVEL III"</f>
        <v>PROFESSOR NIVEL III</v>
      </c>
      <c r="E1833" t="str">
        <f>"Efetivo-Inativos II-RJUSM"</f>
        <v>Efetivo-Inativos II-RJUSM</v>
      </c>
      <c r="F1833" t="str">
        <f>"R$ 4.063,35"</f>
        <v>R$ 4.063,35</v>
      </c>
      <c r="G1833" t="str">
        <f>"R$ 4.876,02"</f>
        <v>R$ 4.876,02</v>
      </c>
      <c r="H1833" t="str">
        <f t="shared" si="186"/>
        <v>R$ 0,00</v>
      </c>
      <c r="I1833" t="str">
        <f>"R$ 4.876,02"</f>
        <v>R$ 4.876,02</v>
      </c>
      <c r="J1833" t="str">
        <f>"R$ 2.909,55"</f>
        <v>R$ 2.909,55</v>
      </c>
      <c r="K1833" t="str">
        <f>"R$ 1.966,47"</f>
        <v>R$ 1.966,47</v>
      </c>
    </row>
    <row r="1834" spans="1:11" x14ac:dyDescent="0.25">
      <c r="A1834" t="str">
        <f>"00052981 / 1"</f>
        <v>00052981 / 1</v>
      </c>
      <c r="B1834" t="str">
        <f>"Folha Mensal"</f>
        <v>Folha Mensal</v>
      </c>
      <c r="C1834" t="str">
        <f>"Rosa Irene Frazao Henriques"</f>
        <v>Rosa Irene Frazao Henriques</v>
      </c>
      <c r="D1834" t="str">
        <f>"PROFESSOR NIVEL III"</f>
        <v>PROFESSOR NIVEL III</v>
      </c>
      <c r="E1834" t="str">
        <f>"Efetivo-Inativos II-RJUSM"</f>
        <v>Efetivo-Inativos II-RJUSM</v>
      </c>
      <c r="F1834" t="str">
        <f>"R$ 4.063,35"</f>
        <v>R$ 4.063,35</v>
      </c>
      <c r="G1834" t="str">
        <f>"R$ 4.876,02"</f>
        <v>R$ 4.876,02</v>
      </c>
      <c r="H1834" t="str">
        <f t="shared" si="186"/>
        <v>R$ 0,00</v>
      </c>
      <c r="I1834" t="str">
        <f>"R$ 4.876,02"</f>
        <v>R$ 4.876,02</v>
      </c>
      <c r="J1834" t="str">
        <f>"R$ 471,54"</f>
        <v>R$ 471,54</v>
      </c>
      <c r="K1834" t="str">
        <f>"R$ 4.404,48"</f>
        <v>R$ 4.404,48</v>
      </c>
    </row>
    <row r="1835" spans="1:11" x14ac:dyDescent="0.25">
      <c r="A1835" t="str">
        <f>"00028452 / 1"</f>
        <v>00028452 / 1</v>
      </c>
      <c r="B1835" t="str">
        <f>"13° Salário Anual"</f>
        <v>13° Salário Anual</v>
      </c>
      <c r="C1835" t="str">
        <f>"Rosa Lucia da Costa Monteiro"</f>
        <v>Rosa Lucia da Costa Monteiro</v>
      </c>
      <c r="D1835" t="str">
        <f t="shared" ref="D1835:D1840" si="188">"INT TEMP CONTRIBUICAO"</f>
        <v>INT TEMP CONTRIBUICAO</v>
      </c>
      <c r="E1835" t="str">
        <f>"Efetivo-Inativos II-RJUSM"</f>
        <v>Efetivo-Inativos II-RJUSM</v>
      </c>
      <c r="F1835" t="str">
        <f t="shared" ref="F1835:F1840" si="189">"R$ 1.100,00"</f>
        <v>R$ 1.100,00</v>
      </c>
      <c r="G1835" t="str">
        <f t="shared" ref="G1835:G1840" si="190">"R$ 1.430,00"</f>
        <v>R$ 1.430,00</v>
      </c>
      <c r="H1835" t="str">
        <f t="shared" si="186"/>
        <v>R$ 0,00</v>
      </c>
      <c r="I1835" t="str">
        <f t="shared" ref="I1835:I1840" si="191">"R$ 1.430,00"</f>
        <v>R$ 1.430,00</v>
      </c>
      <c r="J1835" t="str">
        <f>"R$ 715,00"</f>
        <v>R$ 715,00</v>
      </c>
      <c r="K1835" t="str">
        <f>"R$ 715,00"</f>
        <v>R$ 715,00</v>
      </c>
    </row>
    <row r="1836" spans="1:11" x14ac:dyDescent="0.25">
      <c r="A1836" t="str">
        <f>"00028452 / 1"</f>
        <v>00028452 / 1</v>
      </c>
      <c r="B1836" t="str">
        <f>"Folha Mensal"</f>
        <v>Folha Mensal</v>
      </c>
      <c r="C1836" t="str">
        <f>"Rosa Lucia da Costa Monteiro"</f>
        <v>Rosa Lucia da Costa Monteiro</v>
      </c>
      <c r="D1836" t="str">
        <f t="shared" si="188"/>
        <v>INT TEMP CONTRIBUICAO</v>
      </c>
      <c r="E1836" t="str">
        <f>"Efetivo-Inativos II-RJUSM"</f>
        <v>Efetivo-Inativos II-RJUSM</v>
      </c>
      <c r="F1836" t="str">
        <f t="shared" si="189"/>
        <v>R$ 1.100,00</v>
      </c>
      <c r="G1836" t="str">
        <f t="shared" si="190"/>
        <v>R$ 1.430,00</v>
      </c>
      <c r="H1836" t="str">
        <f t="shared" si="186"/>
        <v>R$ 0,00</v>
      </c>
      <c r="I1836" t="str">
        <f t="shared" si="191"/>
        <v>R$ 1.430,00</v>
      </c>
      <c r="J1836" t="str">
        <f>"R$ 365,89"</f>
        <v>R$ 365,89</v>
      </c>
      <c r="K1836" t="str">
        <f>"R$ 1.064,11"</f>
        <v>R$ 1.064,11</v>
      </c>
    </row>
    <row r="1837" spans="1:11" x14ac:dyDescent="0.25">
      <c r="A1837" t="str">
        <f>"00028371 / 1"</f>
        <v>00028371 / 1</v>
      </c>
      <c r="B1837" t="str">
        <f>"13° Salário Anual"</f>
        <v>13° Salário Anual</v>
      </c>
      <c r="C1837" t="str">
        <f>"Rosa Maria Barbosa Moutinho"</f>
        <v>Rosa Maria Barbosa Moutinho</v>
      </c>
      <c r="D1837" t="str">
        <f t="shared" si="188"/>
        <v>INT TEMP CONTRIBUICAO</v>
      </c>
      <c r="E1837" t="str">
        <f>"Efetivo-Inativo I- RJUSM"</f>
        <v>Efetivo-Inativo I- RJUSM</v>
      </c>
      <c r="F1837" t="str">
        <f t="shared" si="189"/>
        <v>R$ 1.100,00</v>
      </c>
      <c r="G1837" t="str">
        <f t="shared" si="190"/>
        <v>R$ 1.430,00</v>
      </c>
      <c r="H1837" t="str">
        <f t="shared" si="186"/>
        <v>R$ 0,00</v>
      </c>
      <c r="I1837" t="str">
        <f t="shared" si="191"/>
        <v>R$ 1.430,00</v>
      </c>
      <c r="J1837" t="str">
        <f>"R$ 715,00"</f>
        <v>R$ 715,00</v>
      </c>
      <c r="K1837" t="str">
        <f>"R$ 715,00"</f>
        <v>R$ 715,00</v>
      </c>
    </row>
    <row r="1838" spans="1:11" x14ac:dyDescent="0.25">
      <c r="A1838" t="str">
        <f>"00028371 / 1"</f>
        <v>00028371 / 1</v>
      </c>
      <c r="B1838" t="str">
        <f>"Folha Mensal"</f>
        <v>Folha Mensal</v>
      </c>
      <c r="C1838" t="str">
        <f>"Rosa Maria Barbosa Moutinho"</f>
        <v>Rosa Maria Barbosa Moutinho</v>
      </c>
      <c r="D1838" t="str">
        <f t="shared" si="188"/>
        <v>INT TEMP CONTRIBUICAO</v>
      </c>
      <c r="E1838" t="str">
        <f>"Efetivo-Inativo I- RJUSM"</f>
        <v>Efetivo-Inativo I- RJUSM</v>
      </c>
      <c r="F1838" t="str">
        <f t="shared" si="189"/>
        <v>R$ 1.100,00</v>
      </c>
      <c r="G1838" t="str">
        <f t="shared" si="190"/>
        <v>R$ 1.430,00</v>
      </c>
      <c r="H1838" t="str">
        <f t="shared" si="186"/>
        <v>R$ 0,00</v>
      </c>
      <c r="I1838" t="str">
        <f t="shared" si="191"/>
        <v>R$ 1.430,00</v>
      </c>
      <c r="J1838" t="str">
        <f>"R$ 394,54"</f>
        <v>R$ 394,54</v>
      </c>
      <c r="K1838" t="str">
        <f>"R$ 1.035,46"</f>
        <v>R$ 1.035,46</v>
      </c>
    </row>
    <row r="1839" spans="1:11" x14ac:dyDescent="0.25">
      <c r="A1839" t="str">
        <f>"00009350 / 1"</f>
        <v>00009350 / 1</v>
      </c>
      <c r="B1839" t="str">
        <f>"13° Salário Anual"</f>
        <v>13° Salário Anual</v>
      </c>
      <c r="C1839" t="str">
        <f>"Rosa Maria da Rocha Menezes"</f>
        <v>Rosa Maria da Rocha Menezes</v>
      </c>
      <c r="D1839" t="str">
        <f t="shared" si="188"/>
        <v>INT TEMP CONTRIBUICAO</v>
      </c>
      <c r="E1839" t="str">
        <f>"Efetivo-Inativos II-RJUSM"</f>
        <v>Efetivo-Inativos II-RJUSM</v>
      </c>
      <c r="F1839" t="str">
        <f t="shared" si="189"/>
        <v>R$ 1.100,00</v>
      </c>
      <c r="G1839" t="str">
        <f t="shared" si="190"/>
        <v>R$ 1.430,00</v>
      </c>
      <c r="H1839" t="str">
        <f t="shared" si="186"/>
        <v>R$ 0,00</v>
      </c>
      <c r="I1839" t="str">
        <f t="shared" si="191"/>
        <v>R$ 1.430,00</v>
      </c>
      <c r="J1839" t="str">
        <f>"R$ 715,00"</f>
        <v>R$ 715,00</v>
      </c>
      <c r="K1839" t="str">
        <f>"R$ 715,00"</f>
        <v>R$ 715,00</v>
      </c>
    </row>
    <row r="1840" spans="1:11" x14ac:dyDescent="0.25">
      <c r="A1840" t="str">
        <f>"00009350 / 1"</f>
        <v>00009350 / 1</v>
      </c>
      <c r="B1840" t="str">
        <f>"Folha Mensal"</f>
        <v>Folha Mensal</v>
      </c>
      <c r="C1840" t="str">
        <f>"Rosa Maria da Rocha Menezes"</f>
        <v>Rosa Maria da Rocha Menezes</v>
      </c>
      <c r="D1840" t="str">
        <f t="shared" si="188"/>
        <v>INT TEMP CONTRIBUICAO</v>
      </c>
      <c r="E1840" t="str">
        <f>"Efetivo-Inativos II-RJUSM"</f>
        <v>Efetivo-Inativos II-RJUSM</v>
      </c>
      <c r="F1840" t="str">
        <f t="shared" si="189"/>
        <v>R$ 1.100,00</v>
      </c>
      <c r="G1840" t="str">
        <f t="shared" si="190"/>
        <v>R$ 1.430,00</v>
      </c>
      <c r="H1840" t="str">
        <f t="shared" si="186"/>
        <v>R$ 0,00</v>
      </c>
      <c r="I1840" t="str">
        <f t="shared" si="191"/>
        <v>R$ 1.430,00</v>
      </c>
      <c r="J1840" t="str">
        <f>"R$ 428,88"</f>
        <v>R$ 428,88</v>
      </c>
      <c r="K1840" t="str">
        <f>"R$ 1.001,12"</f>
        <v>R$ 1.001,12</v>
      </c>
    </row>
    <row r="1841" spans="1:11" x14ac:dyDescent="0.25">
      <c r="A1841" t="str">
        <f>"00025038 / 1"</f>
        <v>00025038 / 1</v>
      </c>
      <c r="B1841" t="str">
        <f>"13° Salário Anual"</f>
        <v>13° Salário Anual</v>
      </c>
      <c r="C1841" t="str">
        <f>"Rosa Maria de Paula Brasil"</f>
        <v>Rosa Maria de Paula Brasil</v>
      </c>
      <c r="D1841" t="str">
        <f>"PROFESSOR"</f>
        <v>PROFESSOR</v>
      </c>
      <c r="E1841" t="str">
        <f>"Efetivo-Inativo I- RJUSM"</f>
        <v>Efetivo-Inativo I- RJUSM</v>
      </c>
      <c r="F1841" t="str">
        <f>"R$ 1.593,46"</f>
        <v>R$ 1.593,46</v>
      </c>
      <c r="G1841" t="str">
        <f>"R$ 1.991,82"</f>
        <v>R$ 1.991,82</v>
      </c>
      <c r="H1841" t="str">
        <f t="shared" si="186"/>
        <v>R$ 0,00</v>
      </c>
      <c r="I1841" t="str">
        <f>"R$ 1.991,82"</f>
        <v>R$ 1.991,82</v>
      </c>
      <c r="J1841" t="str">
        <f>"R$ 995,91"</f>
        <v>R$ 995,91</v>
      </c>
      <c r="K1841" t="str">
        <f>"R$ 995,91"</f>
        <v>R$ 995,91</v>
      </c>
    </row>
    <row r="1842" spans="1:11" x14ac:dyDescent="0.25">
      <c r="A1842" t="str">
        <f>"00025038 / 1"</f>
        <v>00025038 / 1</v>
      </c>
      <c r="B1842" t="str">
        <f>"Folha Mensal"</f>
        <v>Folha Mensal</v>
      </c>
      <c r="C1842" t="str">
        <f>"Rosa Maria de Paula Brasil"</f>
        <v>Rosa Maria de Paula Brasil</v>
      </c>
      <c r="D1842" t="str">
        <f>"PROFESSOR"</f>
        <v>PROFESSOR</v>
      </c>
      <c r="E1842" t="str">
        <f>"Efetivo-Inativo I- RJUSM"</f>
        <v>Efetivo-Inativo I- RJUSM</v>
      </c>
      <c r="F1842" t="str">
        <f>"R$ 1.593,46"</f>
        <v>R$ 1.593,46</v>
      </c>
      <c r="G1842" t="str">
        <f>"R$ 1.991,82"</f>
        <v>R$ 1.991,82</v>
      </c>
      <c r="H1842" t="str">
        <f t="shared" si="186"/>
        <v>R$ 0,00</v>
      </c>
      <c r="I1842" t="str">
        <f>"R$ 1.991,82"</f>
        <v>R$ 1.991,82</v>
      </c>
      <c r="J1842" t="str">
        <f>"R$ 352,96"</f>
        <v>R$ 352,96</v>
      </c>
      <c r="K1842" t="str">
        <f>"R$ 1.638,86"</f>
        <v>R$ 1.638,86</v>
      </c>
    </row>
    <row r="1843" spans="1:11" x14ac:dyDescent="0.25">
      <c r="A1843" t="str">
        <f>"00009377 / 2"</f>
        <v>00009377 / 2</v>
      </c>
      <c r="B1843" t="str">
        <f>"13° Salário Anual"</f>
        <v>13° Salário Anual</v>
      </c>
      <c r="C1843" t="str">
        <f>"Rosa Maria Ferreira da Silva"</f>
        <v>Rosa Maria Ferreira da Silva</v>
      </c>
      <c r="D1843" t="str">
        <f>"AUXILIAR MUNICIPAL"</f>
        <v>AUXILIAR MUNICIPAL</v>
      </c>
      <c r="E1843" t="str">
        <f>"Efetivo-Inativos II-RJUSM"</f>
        <v>Efetivo-Inativos II-RJUSM</v>
      </c>
      <c r="F1843" t="str">
        <f>"R$ 1.100,00"</f>
        <v>R$ 1.100,00</v>
      </c>
      <c r="G1843" t="str">
        <f>"R$ 1.430,00"</f>
        <v>R$ 1.430,00</v>
      </c>
      <c r="H1843" t="str">
        <f t="shared" si="186"/>
        <v>R$ 0,00</v>
      </c>
      <c r="I1843" t="str">
        <f>"R$ 1.430,00"</f>
        <v>R$ 1.430,00</v>
      </c>
      <c r="J1843" t="str">
        <f>"R$ 715,00"</f>
        <v>R$ 715,00</v>
      </c>
      <c r="K1843" t="str">
        <f>"R$ 715,00"</f>
        <v>R$ 715,00</v>
      </c>
    </row>
    <row r="1844" spans="1:11" x14ac:dyDescent="0.25">
      <c r="A1844" t="str">
        <f>"00009377 / 2"</f>
        <v>00009377 / 2</v>
      </c>
      <c r="B1844" t="str">
        <f>"Folha Mensal"</f>
        <v>Folha Mensal</v>
      </c>
      <c r="C1844" t="str">
        <f>"Rosa Maria Ferreira da Silva"</f>
        <v>Rosa Maria Ferreira da Silva</v>
      </c>
      <c r="D1844" t="str">
        <f>"AUXILIAR MUNICIPAL"</f>
        <v>AUXILIAR MUNICIPAL</v>
      </c>
      <c r="E1844" t="str">
        <f>"Efetivo-Inativos II-RJUSM"</f>
        <v>Efetivo-Inativos II-RJUSM</v>
      </c>
      <c r="F1844" t="str">
        <f>"R$ 1.100,00"</f>
        <v>R$ 1.100,00</v>
      </c>
      <c r="G1844" t="str">
        <f>"R$ 1.430,00"</f>
        <v>R$ 1.430,00</v>
      </c>
      <c r="H1844" t="str">
        <f t="shared" si="186"/>
        <v>R$ 0,00</v>
      </c>
      <c r="I1844" t="str">
        <f>"R$ 1.430,00"</f>
        <v>R$ 1.430,00</v>
      </c>
      <c r="J1844" t="str">
        <f>"R$ 478,43"</f>
        <v>R$ 478,43</v>
      </c>
      <c r="K1844" t="str">
        <f>"R$ 951,57"</f>
        <v>R$ 951,57</v>
      </c>
    </row>
    <row r="1845" spans="1:11" x14ac:dyDescent="0.25">
      <c r="A1845" t="str">
        <f>"00015458 / 1"</f>
        <v>00015458 / 1</v>
      </c>
      <c r="B1845" t="str">
        <f>"13° Salário Anual"</f>
        <v>13° Salário Anual</v>
      </c>
      <c r="C1845" t="str">
        <f>"Rosa Maria Santos da Cunha"</f>
        <v>Rosa Maria Santos da Cunha</v>
      </c>
      <c r="D1845" t="str">
        <f>"PROFESSOR NIVEL I"</f>
        <v>PROFESSOR NIVEL I</v>
      </c>
      <c r="E1845" t="str">
        <f>"Efetivo-Inativos II-RJUSM"</f>
        <v>Efetivo-Inativos II-RJUSM</v>
      </c>
      <c r="F1845" t="str">
        <f>"R$ 4.461,70"</f>
        <v>R$ 4.461,70</v>
      </c>
      <c r="G1845" t="str">
        <f>"R$ 5.577,12"</f>
        <v>R$ 5.577,12</v>
      </c>
      <c r="H1845" t="str">
        <f t="shared" ref="H1845:H1876" si="192">"R$ 0,00"</f>
        <v>R$ 0,00</v>
      </c>
      <c r="I1845" t="str">
        <f>"R$ 5.577,12"</f>
        <v>R$ 5.577,12</v>
      </c>
      <c r="J1845" t="str">
        <f>"R$ 3.452,90"</f>
        <v>R$ 3.452,90</v>
      </c>
      <c r="K1845" t="str">
        <f>"R$ 2.124,22"</f>
        <v>R$ 2.124,22</v>
      </c>
    </row>
    <row r="1846" spans="1:11" x14ac:dyDescent="0.25">
      <c r="A1846" t="str">
        <f>"00015458 / 1"</f>
        <v>00015458 / 1</v>
      </c>
      <c r="B1846" t="str">
        <f>"Folha Mensal"</f>
        <v>Folha Mensal</v>
      </c>
      <c r="C1846" t="str">
        <f>"Rosa Maria Santos da Cunha"</f>
        <v>Rosa Maria Santos da Cunha</v>
      </c>
      <c r="D1846" t="str">
        <f>"PROFESSOR NIVEL I"</f>
        <v>PROFESSOR NIVEL I</v>
      </c>
      <c r="E1846" t="str">
        <f>"Efetivo-Inativos II-RJUSM"</f>
        <v>Efetivo-Inativos II-RJUSM</v>
      </c>
      <c r="F1846" t="str">
        <f>"R$ 4.461,70"</f>
        <v>R$ 4.461,70</v>
      </c>
      <c r="G1846" t="str">
        <f>"R$ 5.577,12"</f>
        <v>R$ 5.577,12</v>
      </c>
      <c r="H1846" t="str">
        <f t="shared" si="192"/>
        <v>R$ 0,00</v>
      </c>
      <c r="I1846" t="str">
        <f>"R$ 5.577,12"</f>
        <v>R$ 5.577,12</v>
      </c>
      <c r="J1846" t="str">
        <f>"R$ 2.266,31"</f>
        <v>R$ 2.266,31</v>
      </c>
      <c r="K1846" t="str">
        <f>"R$ 3.310,81"</f>
        <v>R$ 3.310,81</v>
      </c>
    </row>
    <row r="1847" spans="1:11" x14ac:dyDescent="0.25">
      <c r="A1847" t="str">
        <f>"00003662 / 1"</f>
        <v>00003662 / 1</v>
      </c>
      <c r="B1847" t="str">
        <f>"13° Salário Anual"</f>
        <v>13° Salário Anual</v>
      </c>
      <c r="C1847" t="str">
        <f>"Rosa Queiroz Cardoso"</f>
        <v>Rosa Queiroz Cardoso</v>
      </c>
      <c r="D1847" t="str">
        <f>"PROP IDADE"</f>
        <v>PROP IDADE</v>
      </c>
      <c r="E1847" t="str">
        <f>"Efetivo-Inativo I- RJUSM"</f>
        <v>Efetivo-Inativo I- RJUSM</v>
      </c>
      <c r="F1847" t="str">
        <f t="shared" ref="F1847:F1852" si="193">"R$ 1.100,00"</f>
        <v>R$ 1.100,00</v>
      </c>
      <c r="G1847" t="str">
        <f>"R$ 1.320,00"</f>
        <v>R$ 1.320,00</v>
      </c>
      <c r="H1847" t="str">
        <f t="shared" si="192"/>
        <v>R$ 0,00</v>
      </c>
      <c r="I1847" t="str">
        <f>"R$ 1.320,00"</f>
        <v>R$ 1.320,00</v>
      </c>
      <c r="J1847" t="str">
        <f>"R$ 660,00"</f>
        <v>R$ 660,00</v>
      </c>
      <c r="K1847" t="str">
        <f>"R$ 660,00"</f>
        <v>R$ 660,00</v>
      </c>
    </row>
    <row r="1848" spans="1:11" x14ac:dyDescent="0.25">
      <c r="A1848" t="str">
        <f>"00003662 / 1"</f>
        <v>00003662 / 1</v>
      </c>
      <c r="B1848" t="str">
        <f>"Folha Mensal"</f>
        <v>Folha Mensal</v>
      </c>
      <c r="C1848" t="str">
        <f>"Rosa Queiroz Cardoso"</f>
        <v>Rosa Queiroz Cardoso</v>
      </c>
      <c r="D1848" t="str">
        <f>"PROP IDADE"</f>
        <v>PROP IDADE</v>
      </c>
      <c r="E1848" t="str">
        <f>"Efetivo-Inativo I- RJUSM"</f>
        <v>Efetivo-Inativo I- RJUSM</v>
      </c>
      <c r="F1848" t="str">
        <f t="shared" si="193"/>
        <v>R$ 1.100,00</v>
      </c>
      <c r="G1848" t="str">
        <f>"R$ 1.320,00"</f>
        <v>R$ 1.320,00</v>
      </c>
      <c r="H1848" t="str">
        <f t="shared" si="192"/>
        <v>R$ 0,00</v>
      </c>
      <c r="I1848" t="str">
        <f>"R$ 1.320,00"</f>
        <v>R$ 1.320,00</v>
      </c>
      <c r="J1848" t="str">
        <f>"R$ 0,00"</f>
        <v>R$ 0,00</v>
      </c>
      <c r="K1848" t="str">
        <f>"R$ 1.320,00"</f>
        <v>R$ 1.320,00</v>
      </c>
    </row>
    <row r="1849" spans="1:11" x14ac:dyDescent="0.25">
      <c r="A1849" t="str">
        <f>"00008540 / 2"</f>
        <v>00008540 / 2</v>
      </c>
      <c r="B1849" t="str">
        <f>"13° Salário Anual"</f>
        <v>13° Salário Anual</v>
      </c>
      <c r="C1849" t="str">
        <f>"Rosalina do Socorro Santos da Silva"</f>
        <v>Rosalina do Socorro Santos da Silva</v>
      </c>
      <c r="D1849" t="str">
        <f>"AUXILIAR MUNICIPAL"</f>
        <v>AUXILIAR MUNICIPAL</v>
      </c>
      <c r="E1849" t="str">
        <f>"Efetivo-Inativos II-RJUSM"</f>
        <v>Efetivo-Inativos II-RJUSM</v>
      </c>
      <c r="F1849" t="str">
        <f t="shared" si="193"/>
        <v>R$ 1.100,00</v>
      </c>
      <c r="G1849" t="str">
        <f>"R$ 1.430,00"</f>
        <v>R$ 1.430,00</v>
      </c>
      <c r="H1849" t="str">
        <f t="shared" si="192"/>
        <v>R$ 0,00</v>
      </c>
      <c r="I1849" t="str">
        <f>"R$ 1.430,00"</f>
        <v>R$ 1.430,00</v>
      </c>
      <c r="J1849" t="str">
        <f>"R$ 715,00"</f>
        <v>R$ 715,00</v>
      </c>
      <c r="K1849" t="str">
        <f>"R$ 715,00"</f>
        <v>R$ 715,00</v>
      </c>
    </row>
    <row r="1850" spans="1:11" x14ac:dyDescent="0.25">
      <c r="A1850" t="str">
        <f>"00008540 / 2"</f>
        <v>00008540 / 2</v>
      </c>
      <c r="B1850" t="str">
        <f>"Folha Mensal"</f>
        <v>Folha Mensal</v>
      </c>
      <c r="C1850" t="str">
        <f>"Rosalina do Socorro Santos da Silva"</f>
        <v>Rosalina do Socorro Santos da Silva</v>
      </c>
      <c r="D1850" t="str">
        <f>"AUXILIAR MUNICIPAL"</f>
        <v>AUXILIAR MUNICIPAL</v>
      </c>
      <c r="E1850" t="str">
        <f>"Efetivo-Inativos II-RJUSM"</f>
        <v>Efetivo-Inativos II-RJUSM</v>
      </c>
      <c r="F1850" t="str">
        <f t="shared" si="193"/>
        <v>R$ 1.100,00</v>
      </c>
      <c r="G1850" t="str">
        <f>"R$ 1.430,00"</f>
        <v>R$ 1.430,00</v>
      </c>
      <c r="H1850" t="str">
        <f t="shared" si="192"/>
        <v>R$ 0,00</v>
      </c>
      <c r="I1850" t="str">
        <f>"R$ 1.430,00"</f>
        <v>R$ 1.430,00</v>
      </c>
      <c r="J1850" t="str">
        <f>"R$ 0,00"</f>
        <v>R$ 0,00</v>
      </c>
      <c r="K1850" t="str">
        <f>"R$ 1.430,00"</f>
        <v>R$ 1.430,00</v>
      </c>
    </row>
    <row r="1851" spans="1:11" x14ac:dyDescent="0.25">
      <c r="A1851" t="str">
        <f>"00000760 / 1"</f>
        <v>00000760 / 1</v>
      </c>
      <c r="B1851" t="str">
        <f>"13° Salário Anual"</f>
        <v>13° Salário Anual</v>
      </c>
      <c r="C1851" t="str">
        <f>"Rosalina Gemaque da Silva"</f>
        <v>Rosalina Gemaque da Silva</v>
      </c>
      <c r="D1851" t="str">
        <f>"PROP IDADE"</f>
        <v>PROP IDADE</v>
      </c>
      <c r="E1851" t="str">
        <f>"Efetivo-Inativo I- RJUSM"</f>
        <v>Efetivo-Inativo I- RJUSM</v>
      </c>
      <c r="F1851" t="str">
        <f t="shared" si="193"/>
        <v>R$ 1.100,00</v>
      </c>
      <c r="G1851" t="str">
        <f>"R$ 1.100,00"</f>
        <v>R$ 1.100,00</v>
      </c>
      <c r="H1851" t="str">
        <f t="shared" si="192"/>
        <v>R$ 0,00</v>
      </c>
      <c r="I1851" t="str">
        <f>"R$ 1.100,00"</f>
        <v>R$ 1.100,00</v>
      </c>
      <c r="J1851" t="str">
        <f>"R$ 550,00"</f>
        <v>R$ 550,00</v>
      </c>
      <c r="K1851" t="str">
        <f>"R$ 550,00"</f>
        <v>R$ 550,00</v>
      </c>
    </row>
    <row r="1852" spans="1:11" x14ac:dyDescent="0.25">
      <c r="A1852" t="str">
        <f>"00000760 / 1"</f>
        <v>00000760 / 1</v>
      </c>
      <c r="B1852" t="str">
        <f>"Folha Mensal"</f>
        <v>Folha Mensal</v>
      </c>
      <c r="C1852" t="str">
        <f>"Rosalina Gemaque da Silva"</f>
        <v>Rosalina Gemaque da Silva</v>
      </c>
      <c r="D1852" t="str">
        <f>"PROP IDADE"</f>
        <v>PROP IDADE</v>
      </c>
      <c r="E1852" t="str">
        <f>"Efetivo-Inativo I- RJUSM"</f>
        <v>Efetivo-Inativo I- RJUSM</v>
      </c>
      <c r="F1852" t="str">
        <f t="shared" si="193"/>
        <v>R$ 1.100,00</v>
      </c>
      <c r="G1852" t="str">
        <f>"R$ 1.100,00"</f>
        <v>R$ 1.100,00</v>
      </c>
      <c r="H1852" t="str">
        <f t="shared" si="192"/>
        <v>R$ 0,00</v>
      </c>
      <c r="I1852" t="str">
        <f>"R$ 1.100,00"</f>
        <v>R$ 1.100,00</v>
      </c>
      <c r="J1852" t="str">
        <f>"R$ 0,00"</f>
        <v>R$ 0,00</v>
      </c>
      <c r="K1852" t="str">
        <f>"R$ 1.100,00"</f>
        <v>R$ 1.100,00</v>
      </c>
    </row>
    <row r="1853" spans="1:11" x14ac:dyDescent="0.25">
      <c r="A1853" t="str">
        <f>"03640876 / 1"</f>
        <v>03640876 / 1</v>
      </c>
      <c r="B1853" t="str">
        <f>"13° Salário Anual"</f>
        <v>13° Salário Anual</v>
      </c>
      <c r="C1853" t="str">
        <f>"Rosangela Amaral e Silva"</f>
        <v>Rosangela Amaral e Silva</v>
      </c>
      <c r="D1853" t="str">
        <f>"PROFESSOR NIVEL III"</f>
        <v>PROFESSOR NIVEL III</v>
      </c>
      <c r="E1853" t="str">
        <f>"Efetivo-Inativos II-RJUSM"</f>
        <v>Efetivo-Inativos II-RJUSM</v>
      </c>
      <c r="F1853" t="str">
        <f>"R$ 4.780,39"</f>
        <v>R$ 4.780,39</v>
      </c>
      <c r="G1853" t="str">
        <f>"R$ 4.979,56"</f>
        <v>R$ 4.979,56</v>
      </c>
      <c r="H1853" t="str">
        <f t="shared" si="192"/>
        <v>R$ 0,00</v>
      </c>
      <c r="I1853" t="str">
        <f>"R$ 4.979,56"</f>
        <v>R$ 4.979,56</v>
      </c>
      <c r="J1853" t="str">
        <f>"R$ 2.989,79"</f>
        <v>R$ 2.989,79</v>
      </c>
      <c r="K1853" t="str">
        <f>"R$ 1.989,77"</f>
        <v>R$ 1.989,77</v>
      </c>
    </row>
    <row r="1854" spans="1:11" x14ac:dyDescent="0.25">
      <c r="A1854" t="str">
        <f>"03640876 / 1"</f>
        <v>03640876 / 1</v>
      </c>
      <c r="B1854" t="str">
        <f>"Folha Mensal"</f>
        <v>Folha Mensal</v>
      </c>
      <c r="C1854" t="str">
        <f>"Rosangela Amaral e Silva"</f>
        <v>Rosangela Amaral e Silva</v>
      </c>
      <c r="D1854" t="str">
        <f>"PROFESSOR NIVEL III"</f>
        <v>PROFESSOR NIVEL III</v>
      </c>
      <c r="E1854" t="str">
        <f>"Efetivo-Inativos II-RJUSM"</f>
        <v>Efetivo-Inativos II-RJUSM</v>
      </c>
      <c r="F1854" t="str">
        <f>"R$ 4.780,39"</f>
        <v>R$ 4.780,39</v>
      </c>
      <c r="G1854" t="str">
        <f>"R$ 5.975,48"</f>
        <v>R$ 5.975,48</v>
      </c>
      <c r="H1854" t="str">
        <f t="shared" si="192"/>
        <v>R$ 0,00</v>
      </c>
      <c r="I1854" t="str">
        <f>"R$ 5.975,48"</f>
        <v>R$ 5.975,48</v>
      </c>
      <c r="J1854" t="str">
        <f>"R$ 773,89"</f>
        <v>R$ 773,89</v>
      </c>
      <c r="K1854" t="str">
        <f>"R$ 5.201,59"</f>
        <v>R$ 5.201,59</v>
      </c>
    </row>
    <row r="1855" spans="1:11" x14ac:dyDescent="0.25">
      <c r="A1855" t="str">
        <f>"00001856 / 1"</f>
        <v>00001856 / 1</v>
      </c>
      <c r="B1855" t="str">
        <f>"13° Salário Anual"</f>
        <v>13° Salário Anual</v>
      </c>
      <c r="C1855" t="str">
        <f>"Rosangela Maria Menezes Barbosa"</f>
        <v>Rosangela Maria Menezes Barbosa</v>
      </c>
      <c r="D1855" t="str">
        <f>"PROFESSOR NIVEL I"</f>
        <v>PROFESSOR NIVEL I</v>
      </c>
      <c r="E1855" t="str">
        <f>"Efetivo-Inativos II-RJUSM"</f>
        <v>Efetivo-Inativos II-RJUSM</v>
      </c>
      <c r="F1855" t="str">
        <f>"R$ 4.780,42"</f>
        <v>R$ 4.780,42</v>
      </c>
      <c r="G1855" t="str">
        <f>"R$ 6.453,56"</f>
        <v>R$ 6.453,56</v>
      </c>
      <c r="H1855" t="str">
        <f t="shared" si="192"/>
        <v>R$ 0,00</v>
      </c>
      <c r="I1855" t="str">
        <f>"R$ 6.453,56"</f>
        <v>R$ 6.453,56</v>
      </c>
      <c r="J1855" t="str">
        <f>"R$ 4.167,92"</f>
        <v>R$ 4.167,92</v>
      </c>
      <c r="K1855" t="str">
        <f>"R$ 2.285,64"</f>
        <v>R$ 2.285,64</v>
      </c>
    </row>
    <row r="1856" spans="1:11" x14ac:dyDescent="0.25">
      <c r="A1856" t="str">
        <f>"00001856 / 1"</f>
        <v>00001856 / 1</v>
      </c>
      <c r="B1856" t="str">
        <f>"Folha Mensal"</f>
        <v>Folha Mensal</v>
      </c>
      <c r="C1856" t="str">
        <f>"Rosangela Maria Menezes Barbosa"</f>
        <v>Rosangela Maria Menezes Barbosa</v>
      </c>
      <c r="D1856" t="str">
        <f>"PROFESSOR NIVEL I"</f>
        <v>PROFESSOR NIVEL I</v>
      </c>
      <c r="E1856" t="str">
        <f>"Efetivo-Inativos II-RJUSM"</f>
        <v>Efetivo-Inativos II-RJUSM</v>
      </c>
      <c r="F1856" t="str">
        <f>"R$ 4.780,42"</f>
        <v>R$ 4.780,42</v>
      </c>
      <c r="G1856" t="str">
        <f>"R$ 6.453,56"</f>
        <v>R$ 6.453,56</v>
      </c>
      <c r="H1856" t="str">
        <f t="shared" si="192"/>
        <v>R$ 0,00</v>
      </c>
      <c r="I1856" t="str">
        <f>"R$ 6.453,56"</f>
        <v>R$ 6.453,56</v>
      </c>
      <c r="J1856" t="str">
        <f>"R$ 941,14"</f>
        <v>R$ 941,14</v>
      </c>
      <c r="K1856" t="str">
        <f>"R$ 5.512,42"</f>
        <v>R$ 5.512,42</v>
      </c>
    </row>
    <row r="1857" spans="1:11" x14ac:dyDescent="0.25">
      <c r="A1857" t="str">
        <f>"00023701 / 1"</f>
        <v>00023701 / 1</v>
      </c>
      <c r="B1857" t="str">
        <f>"13° Salário Anual"</f>
        <v>13° Salário Anual</v>
      </c>
      <c r="C1857" t="str">
        <f>"Rosangela Nazare Falcao Viegas Soares"</f>
        <v>Rosangela Nazare Falcao Viegas Soares</v>
      </c>
      <c r="D1857" t="str">
        <f>"PROFESSOR"</f>
        <v>PROFESSOR</v>
      </c>
      <c r="E1857" t="str">
        <f>"Efetivo-Inativo I- RJUSM"</f>
        <v>Efetivo-Inativo I- RJUSM</v>
      </c>
      <c r="F1857" t="str">
        <f>"R$ 1.593,46"</f>
        <v>R$ 1.593,46</v>
      </c>
      <c r="G1857" t="str">
        <f>"R$ 1.991,82"</f>
        <v>R$ 1.991,82</v>
      </c>
      <c r="H1857" t="str">
        <f t="shared" si="192"/>
        <v>R$ 0,00</v>
      </c>
      <c r="I1857" t="str">
        <f>"R$ 1.991,82"</f>
        <v>R$ 1.991,82</v>
      </c>
      <c r="J1857" t="str">
        <f>"R$ 995,91"</f>
        <v>R$ 995,91</v>
      </c>
      <c r="K1857" t="str">
        <f>"R$ 995,91"</f>
        <v>R$ 995,91</v>
      </c>
    </row>
    <row r="1858" spans="1:11" x14ac:dyDescent="0.25">
      <c r="A1858" t="str">
        <f>"00023701 / 1"</f>
        <v>00023701 / 1</v>
      </c>
      <c r="B1858" t="str">
        <f>"Folha Mensal"</f>
        <v>Folha Mensal</v>
      </c>
      <c r="C1858" t="str">
        <f>"Rosangela Nazare Falcao Viegas Soares"</f>
        <v>Rosangela Nazare Falcao Viegas Soares</v>
      </c>
      <c r="D1858" t="str">
        <f>"PROFESSOR"</f>
        <v>PROFESSOR</v>
      </c>
      <c r="E1858" t="str">
        <f>"Efetivo-Inativo I- RJUSM"</f>
        <v>Efetivo-Inativo I- RJUSM</v>
      </c>
      <c r="F1858" t="str">
        <f>"R$ 1.593,46"</f>
        <v>R$ 1.593,46</v>
      </c>
      <c r="G1858" t="str">
        <f>"R$ 1.991,82"</f>
        <v>R$ 1.991,82</v>
      </c>
      <c r="H1858" t="str">
        <f t="shared" si="192"/>
        <v>R$ 0,00</v>
      </c>
      <c r="I1858" t="str">
        <f>"R$ 1.991,82"</f>
        <v>R$ 1.991,82</v>
      </c>
      <c r="J1858" t="str">
        <f>"R$ 0,00"</f>
        <v>R$ 0,00</v>
      </c>
      <c r="K1858" t="str">
        <f>"R$ 1.991,82"</f>
        <v>R$ 1.991,82</v>
      </c>
    </row>
    <row r="1859" spans="1:11" x14ac:dyDescent="0.25">
      <c r="A1859" t="str">
        <f>"00074764 / 1"</f>
        <v>00074764 / 1</v>
      </c>
      <c r="B1859" t="str">
        <f>"13° Salário Anual"</f>
        <v>13° Salário Anual</v>
      </c>
      <c r="C1859" t="str">
        <f>"Rosangela Tavares Barros"</f>
        <v>Rosangela Tavares Barros</v>
      </c>
      <c r="D1859" t="str">
        <f>"PROP INVALIDEZ"</f>
        <v>PROP INVALIDEZ</v>
      </c>
      <c r="E1859" t="str">
        <f>"Efetivo-Inativos II-RJUSM"</f>
        <v>Efetivo-Inativos II-RJUSM</v>
      </c>
      <c r="F1859" t="str">
        <f>"R$ 1.100,00"</f>
        <v>R$ 1.100,00</v>
      </c>
      <c r="G1859" t="str">
        <f>"R$ 1.100,00"</f>
        <v>R$ 1.100,00</v>
      </c>
      <c r="H1859" t="str">
        <f t="shared" si="192"/>
        <v>R$ 0,00</v>
      </c>
      <c r="I1859" t="str">
        <f>"R$ 1.100,00"</f>
        <v>R$ 1.100,00</v>
      </c>
      <c r="J1859" t="str">
        <f>"R$ 550,00"</f>
        <v>R$ 550,00</v>
      </c>
      <c r="K1859" t="str">
        <f>"R$ 550,00"</f>
        <v>R$ 550,00</v>
      </c>
    </row>
    <row r="1860" spans="1:11" x14ac:dyDescent="0.25">
      <c r="A1860" t="str">
        <f>"00074764 / 1"</f>
        <v>00074764 / 1</v>
      </c>
      <c r="B1860" t="str">
        <f>"Folha Mensal"</f>
        <v>Folha Mensal</v>
      </c>
      <c r="C1860" t="str">
        <f>"Rosangela Tavares Barros"</f>
        <v>Rosangela Tavares Barros</v>
      </c>
      <c r="D1860" t="str">
        <f>"PROP INVALIDEZ"</f>
        <v>PROP INVALIDEZ</v>
      </c>
      <c r="E1860" t="str">
        <f>"Efetivo-Inativos II-RJUSM"</f>
        <v>Efetivo-Inativos II-RJUSM</v>
      </c>
      <c r="F1860" t="str">
        <f>"R$ 1.100,00"</f>
        <v>R$ 1.100,00</v>
      </c>
      <c r="G1860" t="str">
        <f>"R$ 1.100,00"</f>
        <v>R$ 1.100,00</v>
      </c>
      <c r="H1860" t="str">
        <f t="shared" si="192"/>
        <v>R$ 0,00</v>
      </c>
      <c r="I1860" t="str">
        <f>"R$ 1.100,00"</f>
        <v>R$ 1.100,00</v>
      </c>
      <c r="J1860" t="str">
        <f>"R$ 285,64"</f>
        <v>R$ 285,64</v>
      </c>
      <c r="K1860" t="str">
        <f>"R$ 814,36"</f>
        <v>R$ 814,36</v>
      </c>
    </row>
    <row r="1861" spans="1:11" x14ac:dyDescent="0.25">
      <c r="A1861" t="str">
        <f>"00066320 / 2"</f>
        <v>00066320 / 2</v>
      </c>
      <c r="B1861" t="str">
        <f>"13° Salário Anual"</f>
        <v>13° Salário Anual</v>
      </c>
      <c r="C1861" t="str">
        <f>"Rose Anne Loureiro Aquino"</f>
        <v>Rose Anne Loureiro Aquino</v>
      </c>
      <c r="D1861" t="str">
        <f>"PROFESSOR NIVEL III"</f>
        <v>PROFESSOR NIVEL III</v>
      </c>
      <c r="E1861" t="str">
        <f>"Efetivo-Inativos II-RJUSM"</f>
        <v>Efetivo-Inativos II-RJUSM</v>
      </c>
      <c r="F1861" t="str">
        <f>"R$ 5.258,44"</f>
        <v>R$ 5.258,44</v>
      </c>
      <c r="G1861" t="str">
        <f>"R$ 6.047,20"</f>
        <v>R$ 6.047,20</v>
      </c>
      <c r="H1861" t="str">
        <f t="shared" si="192"/>
        <v>R$ 0,00</v>
      </c>
      <c r="I1861" t="str">
        <f>"R$ 6.047,20"</f>
        <v>R$ 6.047,20</v>
      </c>
      <c r="J1861" t="str">
        <f>"R$ 3.817,22"</f>
        <v>R$ 3.817,22</v>
      </c>
      <c r="K1861" t="str">
        <f>"R$ 2.229,98"</f>
        <v>R$ 2.229,98</v>
      </c>
    </row>
    <row r="1862" spans="1:11" x14ac:dyDescent="0.25">
      <c r="A1862" t="str">
        <f>"00066320 / 2"</f>
        <v>00066320 / 2</v>
      </c>
      <c r="B1862" t="str">
        <f>"Folha Mensal"</f>
        <v>Folha Mensal</v>
      </c>
      <c r="C1862" t="str">
        <f>"Rose Anne Loureiro Aquino"</f>
        <v>Rose Anne Loureiro Aquino</v>
      </c>
      <c r="D1862" t="str">
        <f>"PROFESSOR NIVEL III"</f>
        <v>PROFESSOR NIVEL III</v>
      </c>
      <c r="E1862" t="str">
        <f>"Efetivo-Inativos II-RJUSM"</f>
        <v>Efetivo-Inativos II-RJUSM</v>
      </c>
      <c r="F1862" t="str">
        <f>"R$ 5.258,44"</f>
        <v>R$ 5.258,44</v>
      </c>
      <c r="G1862" t="str">
        <f>"R$ 6.047,20"</f>
        <v>R$ 6.047,20</v>
      </c>
      <c r="H1862" t="str">
        <f t="shared" si="192"/>
        <v>R$ 0,00</v>
      </c>
      <c r="I1862" t="str">
        <f>"R$ 6.047,20"</f>
        <v>R$ 6.047,20</v>
      </c>
      <c r="J1862" t="str">
        <f>"R$ 793,62"</f>
        <v>R$ 793,62</v>
      </c>
      <c r="K1862" t="str">
        <f>"R$ 5.253,58"</f>
        <v>R$ 5.253,58</v>
      </c>
    </row>
    <row r="1863" spans="1:11" x14ac:dyDescent="0.25">
      <c r="A1863" t="str">
        <f>"03640558 / 1"</f>
        <v>03640558 / 1</v>
      </c>
      <c r="B1863" t="str">
        <f>"13° Salário Anual"</f>
        <v>13° Salário Anual</v>
      </c>
      <c r="C1863" t="str">
        <f>"Rose Ligia Pinheiro dos Santos"</f>
        <v>Rose Ligia Pinheiro dos Santos</v>
      </c>
      <c r="D1863" t="str">
        <f>"DAS 06"</f>
        <v>DAS 06</v>
      </c>
      <c r="E1863" t="str">
        <f>"Comissionado"</f>
        <v>Comissionado</v>
      </c>
      <c r="F1863" t="str">
        <f>"R$ 2.427,00"</f>
        <v>R$ 2.427,00</v>
      </c>
      <c r="G1863" t="str">
        <f>"R$ 2.224,75"</f>
        <v>R$ 2.224,75</v>
      </c>
      <c r="H1863" t="str">
        <f t="shared" si="192"/>
        <v>R$ 0,00</v>
      </c>
      <c r="I1863" t="str">
        <f>"R$ 2.224,75"</f>
        <v>R$ 2.224,75</v>
      </c>
      <c r="J1863" t="str">
        <f>"R$ 1.306,95"</f>
        <v>R$ 1.306,95</v>
      </c>
      <c r="K1863" t="str">
        <f>"R$ 917,80"</f>
        <v>R$ 917,80</v>
      </c>
    </row>
    <row r="1864" spans="1:11" x14ac:dyDescent="0.25">
      <c r="A1864" t="str">
        <f>"03640558 / 1"</f>
        <v>03640558 / 1</v>
      </c>
      <c r="B1864" t="str">
        <f>"Folha Mensal"</f>
        <v>Folha Mensal</v>
      </c>
      <c r="C1864" t="str">
        <f>"Rose Ligia Pinheiro dos Santos"</f>
        <v>Rose Ligia Pinheiro dos Santos</v>
      </c>
      <c r="D1864" t="str">
        <f>"DAS 06"</f>
        <v>DAS 06</v>
      </c>
      <c r="E1864" t="str">
        <f>"Comissionado"</f>
        <v>Comissionado</v>
      </c>
      <c r="F1864" t="str">
        <f>"R$ 2.427,00"</f>
        <v>R$ 2.427,00</v>
      </c>
      <c r="G1864" t="str">
        <f>"R$ 2.427,00"</f>
        <v>R$ 2.427,00</v>
      </c>
      <c r="H1864" t="str">
        <f t="shared" si="192"/>
        <v>R$ 0,00</v>
      </c>
      <c r="I1864" t="str">
        <f>"R$ 2.427,00"</f>
        <v>R$ 2.427,00</v>
      </c>
      <c r="J1864" t="str">
        <f>"R$ 232,20"</f>
        <v>R$ 232,20</v>
      </c>
      <c r="K1864" t="str">
        <f>"R$ 2.194,80"</f>
        <v>R$ 2.194,80</v>
      </c>
    </row>
    <row r="1865" spans="1:11" x14ac:dyDescent="0.25">
      <c r="A1865" t="str">
        <f>"00024333 / 1"</f>
        <v>00024333 / 1</v>
      </c>
      <c r="B1865" t="str">
        <f>"13° Salário Anual"</f>
        <v>13° Salário Anual</v>
      </c>
      <c r="C1865" t="str">
        <f>"Rose Margareth Monteiro Negrao"</f>
        <v>Rose Margareth Monteiro Negrao</v>
      </c>
      <c r="D1865" t="str">
        <f>"PROFESSOR"</f>
        <v>PROFESSOR</v>
      </c>
      <c r="E1865" t="str">
        <f>"Efetivo-Inativo I- RJUSM"</f>
        <v>Efetivo-Inativo I- RJUSM</v>
      </c>
      <c r="F1865" t="str">
        <f>"R$ 2.071,51"</f>
        <v>R$ 2.071,51</v>
      </c>
      <c r="G1865" t="str">
        <f>"R$ 2.589,38"</f>
        <v>R$ 2.589,38</v>
      </c>
      <c r="H1865" t="str">
        <f t="shared" si="192"/>
        <v>R$ 0,00</v>
      </c>
      <c r="I1865" t="str">
        <f>"R$ 2.589,38"</f>
        <v>R$ 2.589,38</v>
      </c>
      <c r="J1865" t="str">
        <f>"R$ 1.346,09"</f>
        <v>R$ 1.346,09</v>
      </c>
      <c r="K1865" t="str">
        <f>"R$ 1.243,29"</f>
        <v>R$ 1.243,29</v>
      </c>
    </row>
    <row r="1866" spans="1:11" x14ac:dyDescent="0.25">
      <c r="A1866" t="str">
        <f>"00024333 / 1"</f>
        <v>00024333 / 1</v>
      </c>
      <c r="B1866" t="str">
        <f>"Folha Mensal"</f>
        <v>Folha Mensal</v>
      </c>
      <c r="C1866" t="str">
        <f>"Rose Margareth Monteiro Negrao"</f>
        <v>Rose Margareth Monteiro Negrao</v>
      </c>
      <c r="D1866" t="str">
        <f>"PROFESSOR"</f>
        <v>PROFESSOR</v>
      </c>
      <c r="E1866" t="str">
        <f>"Efetivo-Inativo I- RJUSM"</f>
        <v>Efetivo-Inativo I- RJUSM</v>
      </c>
      <c r="F1866" t="str">
        <f>"R$ 2.071,51"</f>
        <v>R$ 2.071,51</v>
      </c>
      <c r="G1866" t="str">
        <f>"R$ 2.589,38"</f>
        <v>R$ 2.589,38</v>
      </c>
      <c r="H1866" t="str">
        <f t="shared" si="192"/>
        <v>R$ 0,00</v>
      </c>
      <c r="I1866" t="str">
        <f>"R$ 2.589,38"</f>
        <v>R$ 2.589,38</v>
      </c>
      <c r="J1866" t="str">
        <f>"R$ 810,88"</f>
        <v>R$ 810,88</v>
      </c>
      <c r="K1866" t="str">
        <f>"R$ 1.778,50"</f>
        <v>R$ 1.778,50</v>
      </c>
    </row>
    <row r="1867" spans="1:11" x14ac:dyDescent="0.25">
      <c r="A1867" t="str">
        <f>"00006491 / 1"</f>
        <v>00006491 / 1</v>
      </c>
      <c r="B1867" t="str">
        <f>"13° Salário Anual"</f>
        <v>13° Salário Anual</v>
      </c>
      <c r="C1867" t="str">
        <f>"Roseane Antonia Falcao Viegas"</f>
        <v>Roseane Antonia Falcao Viegas</v>
      </c>
      <c r="D1867" t="str">
        <f>"PROFESSOR NIVEL II"</f>
        <v>PROFESSOR NIVEL II</v>
      </c>
      <c r="E1867" t="str">
        <f>"Efetivo-Inativo I- RJUSM"</f>
        <v>Efetivo-Inativo I- RJUSM</v>
      </c>
      <c r="F1867" t="str">
        <f>"R$ 3.950,48"</f>
        <v>R$ 3.950,48</v>
      </c>
      <c r="G1867" t="str">
        <f>"R$ 4.938,10"</f>
        <v>R$ 4.938,10</v>
      </c>
      <c r="H1867" t="str">
        <f t="shared" si="192"/>
        <v>R$ 0,00</v>
      </c>
      <c r="I1867" t="str">
        <f>"R$ 4.938,10"</f>
        <v>R$ 4.938,10</v>
      </c>
      <c r="J1867" t="str">
        <f>"R$ 2.905,53"</f>
        <v>R$ 2.905,53</v>
      </c>
      <c r="K1867" t="str">
        <f>"R$ 2.032,57"</f>
        <v>R$ 2.032,57</v>
      </c>
    </row>
    <row r="1868" spans="1:11" x14ac:dyDescent="0.25">
      <c r="A1868" t="str">
        <f>"00006491 / 1"</f>
        <v>00006491 / 1</v>
      </c>
      <c r="B1868" t="str">
        <f>"Folha Mensal"</f>
        <v>Folha Mensal</v>
      </c>
      <c r="C1868" t="str">
        <f>"Roseane Antonia Falcao Viegas"</f>
        <v>Roseane Antonia Falcao Viegas</v>
      </c>
      <c r="D1868" t="str">
        <f>"PROFESSOR NIVEL II"</f>
        <v>PROFESSOR NIVEL II</v>
      </c>
      <c r="E1868" t="str">
        <f>"Efetivo-Inativo I- RJUSM"</f>
        <v>Efetivo-Inativo I- RJUSM</v>
      </c>
      <c r="F1868" t="str">
        <f>"R$ 3.950,48"</f>
        <v>R$ 3.950,48</v>
      </c>
      <c r="G1868" t="str">
        <f>"R$ 4.938,10"</f>
        <v>R$ 4.938,10</v>
      </c>
      <c r="H1868" t="str">
        <f t="shared" si="192"/>
        <v>R$ 0,00</v>
      </c>
      <c r="I1868" t="str">
        <f>"R$ 4.938,10"</f>
        <v>R$ 4.938,10</v>
      </c>
      <c r="J1868" t="str">
        <f>"R$ 1.676,23"</f>
        <v>R$ 1.676,23</v>
      </c>
      <c r="K1868" t="str">
        <f>"R$ 3.261,87"</f>
        <v>R$ 3.261,87</v>
      </c>
    </row>
    <row r="1869" spans="1:11" x14ac:dyDescent="0.25">
      <c r="A1869" t="str">
        <f>"00052388 / 1"</f>
        <v>00052388 / 1</v>
      </c>
      <c r="B1869" t="str">
        <f>"13° Salário Anual"</f>
        <v>13° Salário Anual</v>
      </c>
      <c r="C1869" t="str">
        <f>"Roseane do Socorro Brito Queiroz"</f>
        <v>Roseane do Socorro Brito Queiroz</v>
      </c>
      <c r="D1869" t="str">
        <f>"PROFESSOR NIVEL III"</f>
        <v>PROFESSOR NIVEL III</v>
      </c>
      <c r="E1869" t="str">
        <f t="shared" ref="E1869:E1878" si="194">"Efetivo-Inativos II-RJUSM"</f>
        <v>Efetivo-Inativos II-RJUSM</v>
      </c>
      <c r="F1869" t="str">
        <f>"R$ 4.302,35"</f>
        <v>R$ 4.302,35</v>
      </c>
      <c r="G1869" t="str">
        <f>"R$ 5.377,93"</f>
        <v>R$ 5.377,93</v>
      </c>
      <c r="H1869" t="str">
        <f t="shared" si="192"/>
        <v>R$ 0,00</v>
      </c>
      <c r="I1869" t="str">
        <f>"R$ 5.377,93"</f>
        <v>R$ 5.377,93</v>
      </c>
      <c r="J1869" t="str">
        <f>"R$ 3.298,53"</f>
        <v>R$ 3.298,53</v>
      </c>
      <c r="K1869" t="str">
        <f>"R$ 2.079,40"</f>
        <v>R$ 2.079,40</v>
      </c>
    </row>
    <row r="1870" spans="1:11" x14ac:dyDescent="0.25">
      <c r="A1870" t="str">
        <f>"00052388 / 1"</f>
        <v>00052388 / 1</v>
      </c>
      <c r="B1870" t="str">
        <f>"Folha Mensal"</f>
        <v>Folha Mensal</v>
      </c>
      <c r="C1870" t="str">
        <f>"Roseane do Socorro Brito Queiroz"</f>
        <v>Roseane do Socorro Brito Queiroz</v>
      </c>
      <c r="D1870" t="str">
        <f>"PROFESSOR NIVEL III"</f>
        <v>PROFESSOR NIVEL III</v>
      </c>
      <c r="E1870" t="str">
        <f t="shared" si="194"/>
        <v>Efetivo-Inativos II-RJUSM</v>
      </c>
      <c r="F1870" t="str">
        <f>"R$ 4.302,35"</f>
        <v>R$ 4.302,35</v>
      </c>
      <c r="G1870" t="str">
        <f>"R$ 5.377,93"</f>
        <v>R$ 5.377,93</v>
      </c>
      <c r="H1870" t="str">
        <f t="shared" si="192"/>
        <v>R$ 0,00</v>
      </c>
      <c r="I1870" t="str">
        <f>"R$ 5.377,93"</f>
        <v>R$ 5.377,93</v>
      </c>
      <c r="J1870" t="str">
        <f>"R$ 609,57"</f>
        <v>R$ 609,57</v>
      </c>
      <c r="K1870" t="str">
        <f>"R$ 4.768,36"</f>
        <v>R$ 4.768,36</v>
      </c>
    </row>
    <row r="1871" spans="1:11" x14ac:dyDescent="0.25">
      <c r="A1871" t="str">
        <f>"00013340 / 1"</f>
        <v>00013340 / 1</v>
      </c>
      <c r="B1871" t="str">
        <f>"13° Salário Anual"</f>
        <v>13° Salário Anual</v>
      </c>
      <c r="C1871" t="str">
        <f>"Roseli Canelas da Silva"</f>
        <v>Roseli Canelas da Silva</v>
      </c>
      <c r="D1871" t="str">
        <f t="shared" ref="D1871:D1876" si="195">"PROFESSOR NIVEL II"</f>
        <v>PROFESSOR NIVEL II</v>
      </c>
      <c r="E1871" t="str">
        <f t="shared" si="194"/>
        <v>Efetivo-Inativos II-RJUSM</v>
      </c>
      <c r="F1871" t="str">
        <f>"R$ 2.868,22"</f>
        <v>R$ 2.868,22</v>
      </c>
      <c r="G1871" t="str">
        <f>"R$ 3.728,68"</f>
        <v>R$ 3.728,68</v>
      </c>
      <c r="H1871" t="str">
        <f t="shared" si="192"/>
        <v>R$ 0,00</v>
      </c>
      <c r="I1871" t="str">
        <f>"R$ 3.728,68"</f>
        <v>R$ 3.728,68</v>
      </c>
      <c r="J1871" t="str">
        <f>"R$ 2.068,84"</f>
        <v>R$ 2.068,84</v>
      </c>
      <c r="K1871" t="str">
        <f>"R$ 1.659,84"</f>
        <v>R$ 1.659,84</v>
      </c>
    </row>
    <row r="1872" spans="1:11" x14ac:dyDescent="0.25">
      <c r="A1872" t="str">
        <f>"00013340 / 1"</f>
        <v>00013340 / 1</v>
      </c>
      <c r="B1872" t="str">
        <f>"Folha Mensal"</f>
        <v>Folha Mensal</v>
      </c>
      <c r="C1872" t="str">
        <f>"Roseli Canelas da Silva"</f>
        <v>Roseli Canelas da Silva</v>
      </c>
      <c r="D1872" t="str">
        <f t="shared" si="195"/>
        <v>PROFESSOR NIVEL II</v>
      </c>
      <c r="E1872" t="str">
        <f t="shared" si="194"/>
        <v>Efetivo-Inativos II-RJUSM</v>
      </c>
      <c r="F1872" t="str">
        <f>"R$ 2.868,22"</f>
        <v>R$ 2.868,22</v>
      </c>
      <c r="G1872" t="str">
        <f>"R$ 3.728,68"</f>
        <v>R$ 3.728,68</v>
      </c>
      <c r="H1872" t="str">
        <f t="shared" si="192"/>
        <v>R$ 0,00</v>
      </c>
      <c r="I1872" t="str">
        <f>"R$ 3.728,68"</f>
        <v>R$ 3.728,68</v>
      </c>
      <c r="J1872" t="str">
        <f>"R$ 1.260,44"</f>
        <v>R$ 1.260,44</v>
      </c>
      <c r="K1872" t="str">
        <f>"R$ 2.468,24"</f>
        <v>R$ 2.468,24</v>
      </c>
    </row>
    <row r="1873" spans="1:11" x14ac:dyDescent="0.25">
      <c r="A1873" t="str">
        <f>"00025372 / 2"</f>
        <v>00025372 / 2</v>
      </c>
      <c r="B1873" t="str">
        <f>"13° Salário Anual"</f>
        <v>13° Salário Anual</v>
      </c>
      <c r="C1873" t="str">
        <f>"Rosene Natalina Falcao Viegas"</f>
        <v>Rosene Natalina Falcao Viegas</v>
      </c>
      <c r="D1873" t="str">
        <f t="shared" si="195"/>
        <v>PROFESSOR NIVEL II</v>
      </c>
      <c r="E1873" t="str">
        <f t="shared" si="194"/>
        <v>Efetivo-Inativos II-RJUSM</v>
      </c>
      <c r="F1873" t="str">
        <f>"R$ 5.736,47"</f>
        <v>R$ 5.736,47</v>
      </c>
      <c r="G1873" t="str">
        <f>"R$ 7.457,41"</f>
        <v>R$ 7.457,41</v>
      </c>
      <c r="H1873" t="str">
        <f t="shared" si="192"/>
        <v>R$ 0,00</v>
      </c>
      <c r="I1873" t="str">
        <f>"R$ 7.457,41"</f>
        <v>R$ 7.457,41</v>
      </c>
      <c r="J1873" t="str">
        <f>"R$ 5.047,79"</f>
        <v>R$ 5.047,79</v>
      </c>
      <c r="K1873" t="str">
        <f>"R$ 2.409,62"</f>
        <v>R$ 2.409,62</v>
      </c>
    </row>
    <row r="1874" spans="1:11" x14ac:dyDescent="0.25">
      <c r="A1874" t="str">
        <f>"00025372 / 2"</f>
        <v>00025372 / 2</v>
      </c>
      <c r="B1874" t="str">
        <f>"Folha Mensal"</f>
        <v>Folha Mensal</v>
      </c>
      <c r="C1874" t="str">
        <f>"Rosene Natalina Falcao Viegas"</f>
        <v>Rosene Natalina Falcao Viegas</v>
      </c>
      <c r="D1874" t="str">
        <f t="shared" si="195"/>
        <v>PROFESSOR NIVEL II</v>
      </c>
      <c r="E1874" t="str">
        <f t="shared" si="194"/>
        <v>Efetivo-Inativos II-RJUSM</v>
      </c>
      <c r="F1874" t="str">
        <f>"R$ 5.736,47"</f>
        <v>R$ 5.736,47</v>
      </c>
      <c r="G1874" t="str">
        <f>"R$ 7.457,41"</f>
        <v>R$ 7.457,41</v>
      </c>
      <c r="H1874" t="str">
        <f t="shared" si="192"/>
        <v>R$ 0,00</v>
      </c>
      <c r="I1874" t="str">
        <f>"R$ 7.457,41"</f>
        <v>R$ 7.457,41</v>
      </c>
      <c r="J1874" t="str">
        <f>"R$ 3.071,04"</f>
        <v>R$ 3.071,04</v>
      </c>
      <c r="K1874" t="str">
        <f>"R$ 4.386,37"</f>
        <v>R$ 4.386,37</v>
      </c>
    </row>
    <row r="1875" spans="1:11" x14ac:dyDescent="0.25">
      <c r="A1875" t="str">
        <f>"00008680 / 1"</f>
        <v>00008680 / 1</v>
      </c>
      <c r="B1875" t="str">
        <f>"13° Salário Anual"</f>
        <v>13° Salário Anual</v>
      </c>
      <c r="C1875" t="str">
        <f>"Rosenira Garcia Campos"</f>
        <v>Rosenira Garcia Campos</v>
      </c>
      <c r="D1875" t="str">
        <f t="shared" si="195"/>
        <v>PROFESSOR NIVEL II</v>
      </c>
      <c r="E1875" t="str">
        <f t="shared" si="194"/>
        <v>Efetivo-Inativos II-RJUSM</v>
      </c>
      <c r="F1875" t="str">
        <f>"R$ 5.736,47"</f>
        <v>R$ 5.736,47</v>
      </c>
      <c r="G1875" t="str">
        <f>"R$ 7.457,41"</f>
        <v>R$ 7.457,41</v>
      </c>
      <c r="H1875" t="str">
        <f t="shared" si="192"/>
        <v>R$ 0,00</v>
      </c>
      <c r="I1875" t="str">
        <f>"R$ 7.457,41"</f>
        <v>R$ 7.457,41</v>
      </c>
      <c r="J1875" t="str">
        <f>"R$ 5.047,79"</f>
        <v>R$ 5.047,79</v>
      </c>
      <c r="K1875" t="str">
        <f>"R$ 2.409,62"</f>
        <v>R$ 2.409,62</v>
      </c>
    </row>
    <row r="1876" spans="1:11" x14ac:dyDescent="0.25">
      <c r="A1876" t="str">
        <f>"00008680 / 1"</f>
        <v>00008680 / 1</v>
      </c>
      <c r="B1876" t="str">
        <f>"Folha Mensal"</f>
        <v>Folha Mensal</v>
      </c>
      <c r="C1876" t="str">
        <f>"Rosenira Garcia Campos"</f>
        <v>Rosenira Garcia Campos</v>
      </c>
      <c r="D1876" t="str">
        <f t="shared" si="195"/>
        <v>PROFESSOR NIVEL II</v>
      </c>
      <c r="E1876" t="str">
        <f t="shared" si="194"/>
        <v>Efetivo-Inativos II-RJUSM</v>
      </c>
      <c r="F1876" t="str">
        <f>"R$ 5.736,47"</f>
        <v>R$ 5.736,47</v>
      </c>
      <c r="G1876" t="str">
        <f>"R$ 7.457,41"</f>
        <v>R$ 7.457,41</v>
      </c>
      <c r="H1876" t="str">
        <f t="shared" si="192"/>
        <v>R$ 0,00</v>
      </c>
      <c r="I1876" t="str">
        <f>"R$ 7.457,41"</f>
        <v>R$ 7.457,41</v>
      </c>
      <c r="J1876" t="str">
        <f>"R$ 2.698,30"</f>
        <v>R$ 2.698,30</v>
      </c>
      <c r="K1876" t="str">
        <f>"R$ 4.759,11"</f>
        <v>R$ 4.759,11</v>
      </c>
    </row>
    <row r="1877" spans="1:11" x14ac:dyDescent="0.25">
      <c r="A1877" t="str">
        <f>"00266566 / 2"</f>
        <v>00266566 / 2</v>
      </c>
      <c r="B1877" t="str">
        <f>"13° Salário Anual"</f>
        <v>13° Salário Anual</v>
      </c>
      <c r="C1877" t="str">
        <f>"Rosilda Macedo da Silva"</f>
        <v>Rosilda Macedo da Silva</v>
      </c>
      <c r="D1877" t="str">
        <f>"AG COMUNIT DE SAUDE"</f>
        <v>AG COMUNIT DE SAUDE</v>
      </c>
      <c r="E1877" t="str">
        <f t="shared" si="194"/>
        <v>Efetivo-Inativos II-RJUSM</v>
      </c>
      <c r="F1877" t="str">
        <f>"R$ 1.100,00"</f>
        <v>R$ 1.100,00</v>
      </c>
      <c r="G1877" t="str">
        <f>"R$ 1.100,00"</f>
        <v>R$ 1.100,00</v>
      </c>
      <c r="H1877" t="str">
        <f t="shared" ref="H1877:H1908" si="196">"R$ 0,00"</f>
        <v>R$ 0,00</v>
      </c>
      <c r="I1877" t="str">
        <f>"R$ 1.100,00"</f>
        <v>R$ 1.100,00</v>
      </c>
      <c r="J1877" t="str">
        <f>"R$ 550,00"</f>
        <v>R$ 550,00</v>
      </c>
      <c r="K1877" t="str">
        <f>"R$ 550,00"</f>
        <v>R$ 550,00</v>
      </c>
    </row>
    <row r="1878" spans="1:11" x14ac:dyDescent="0.25">
      <c r="A1878" t="str">
        <f>"00266566 / 2"</f>
        <v>00266566 / 2</v>
      </c>
      <c r="B1878" t="str">
        <f>"Folha Mensal"</f>
        <v>Folha Mensal</v>
      </c>
      <c r="C1878" t="str">
        <f>"Rosilda Macedo da Silva"</f>
        <v>Rosilda Macedo da Silva</v>
      </c>
      <c r="D1878" t="str">
        <f>"AG COMUNIT DE SAUDE"</f>
        <v>AG COMUNIT DE SAUDE</v>
      </c>
      <c r="E1878" t="str">
        <f t="shared" si="194"/>
        <v>Efetivo-Inativos II-RJUSM</v>
      </c>
      <c r="F1878" t="str">
        <f>"R$ 1.100,00"</f>
        <v>R$ 1.100,00</v>
      </c>
      <c r="G1878" t="str">
        <f>"R$ 1.100,00"</f>
        <v>R$ 1.100,00</v>
      </c>
      <c r="H1878" t="str">
        <f t="shared" si="196"/>
        <v>R$ 0,00</v>
      </c>
      <c r="I1878" t="str">
        <f>"R$ 1.100,00"</f>
        <v>R$ 1.100,00</v>
      </c>
      <c r="J1878" t="str">
        <f>"R$ 0,00"</f>
        <v>R$ 0,00</v>
      </c>
      <c r="K1878" t="str">
        <f>"R$ 1.100,00"</f>
        <v>R$ 1.100,00</v>
      </c>
    </row>
    <row r="1879" spans="1:11" x14ac:dyDescent="0.25">
      <c r="A1879" t="str">
        <f>"00002720 / 1"</f>
        <v>00002720 / 1</v>
      </c>
      <c r="B1879" t="str">
        <f>"13° Salário Anual"</f>
        <v>13° Salário Anual</v>
      </c>
      <c r="C1879" t="str">
        <f>"Rosilda Oliveira dos Santos"</f>
        <v>Rosilda Oliveira dos Santos</v>
      </c>
      <c r="D1879" t="str">
        <f>"PROFESSOR"</f>
        <v>PROFESSOR</v>
      </c>
      <c r="E1879" t="str">
        <f>"Efetivo-Inativo I- RJUSM"</f>
        <v>Efetivo-Inativo I- RJUSM</v>
      </c>
      <c r="F1879" t="str">
        <f>"R$ 1.593,46"</f>
        <v>R$ 1.593,46</v>
      </c>
      <c r="G1879" t="str">
        <f>"R$ 1.991,82"</f>
        <v>R$ 1.991,82</v>
      </c>
      <c r="H1879" t="str">
        <f t="shared" si="196"/>
        <v>R$ 0,00</v>
      </c>
      <c r="I1879" t="str">
        <f>"R$ 1.991,82"</f>
        <v>R$ 1.991,82</v>
      </c>
      <c r="J1879" t="str">
        <f>"R$ 995,91"</f>
        <v>R$ 995,91</v>
      </c>
      <c r="K1879" t="str">
        <f>"R$ 995,91"</f>
        <v>R$ 995,91</v>
      </c>
    </row>
    <row r="1880" spans="1:11" x14ac:dyDescent="0.25">
      <c r="A1880" t="str">
        <f>"00002720 / 1"</f>
        <v>00002720 / 1</v>
      </c>
      <c r="B1880" t="str">
        <f>"Folha Mensal"</f>
        <v>Folha Mensal</v>
      </c>
      <c r="C1880" t="str">
        <f>"Rosilda Oliveira dos Santos"</f>
        <v>Rosilda Oliveira dos Santos</v>
      </c>
      <c r="D1880" t="str">
        <f>"PROFESSOR"</f>
        <v>PROFESSOR</v>
      </c>
      <c r="E1880" t="str">
        <f>"Efetivo-Inativo I- RJUSM"</f>
        <v>Efetivo-Inativo I- RJUSM</v>
      </c>
      <c r="F1880" t="str">
        <f>"R$ 1.593,46"</f>
        <v>R$ 1.593,46</v>
      </c>
      <c r="G1880" t="str">
        <f>"R$ 1.991,82"</f>
        <v>R$ 1.991,82</v>
      </c>
      <c r="H1880" t="str">
        <f t="shared" si="196"/>
        <v>R$ 0,00</v>
      </c>
      <c r="I1880" t="str">
        <f>"R$ 1.991,82"</f>
        <v>R$ 1.991,82</v>
      </c>
      <c r="J1880" t="str">
        <f>"R$ 459,92"</f>
        <v>R$ 459,92</v>
      </c>
      <c r="K1880" t="str">
        <f>"R$ 1.531,90"</f>
        <v>R$ 1.531,90</v>
      </c>
    </row>
    <row r="1881" spans="1:11" x14ac:dyDescent="0.25">
      <c r="A1881" t="str">
        <f>"00033359 / 2"</f>
        <v>00033359 / 2</v>
      </c>
      <c r="B1881" t="str">
        <f>"13° Salário Anual"</f>
        <v>13° Salário Anual</v>
      </c>
      <c r="C1881" t="str">
        <f>"Rosilea Canelas Martins"</f>
        <v>Rosilea Canelas Martins</v>
      </c>
      <c r="D1881" t="str">
        <f>"PROFESSOR NIVEL II"</f>
        <v>PROFESSOR NIVEL II</v>
      </c>
      <c r="E1881" t="str">
        <f>"Efetivo-Inativo I- RJUSM"</f>
        <v>Efetivo-Inativo I- RJUSM</v>
      </c>
      <c r="F1881" t="str">
        <f>"R$ 3.452,53"</f>
        <v>R$ 3.452,53</v>
      </c>
      <c r="G1881" t="str">
        <f>"R$ 4.488,28"</f>
        <v>R$ 4.488,28</v>
      </c>
      <c r="H1881" t="str">
        <f t="shared" si="196"/>
        <v>R$ 0,00</v>
      </c>
      <c r="I1881" t="str">
        <f>"R$ 4.488,28"</f>
        <v>R$ 4.488,28</v>
      </c>
      <c r="J1881" t="str">
        <f>"R$ 2.244,14"</f>
        <v>R$ 2.244,14</v>
      </c>
      <c r="K1881" t="str">
        <f>"R$ 2.244,14"</f>
        <v>R$ 2.244,14</v>
      </c>
    </row>
    <row r="1882" spans="1:11" x14ac:dyDescent="0.25">
      <c r="A1882" t="str">
        <f>"00033359 / 2"</f>
        <v>00033359 / 2</v>
      </c>
      <c r="B1882" t="str">
        <f>"Folha Mensal"</f>
        <v>Folha Mensal</v>
      </c>
      <c r="C1882" t="str">
        <f>"Rosilea Canelas Martins"</f>
        <v>Rosilea Canelas Martins</v>
      </c>
      <c r="D1882" t="str">
        <f>"PROFESSOR NIVEL II"</f>
        <v>PROFESSOR NIVEL II</v>
      </c>
      <c r="E1882" t="str">
        <f>"Efetivo-Inativo I- RJUSM"</f>
        <v>Efetivo-Inativo I- RJUSM</v>
      </c>
      <c r="F1882" t="str">
        <f>"R$ 3.452,53"</f>
        <v>R$ 3.452,53</v>
      </c>
      <c r="G1882" t="str">
        <f>"R$ 4.488,28"</f>
        <v>R$ 4.488,28</v>
      </c>
      <c r="H1882" t="str">
        <f t="shared" si="196"/>
        <v>R$ 0,00</v>
      </c>
      <c r="I1882" t="str">
        <f>"R$ 4.488,28"</f>
        <v>R$ 4.488,28</v>
      </c>
      <c r="J1882" t="str">
        <f>"R$ 0,00"</f>
        <v>R$ 0,00</v>
      </c>
      <c r="K1882" t="str">
        <f>"R$ 4.488,28"</f>
        <v>R$ 4.488,28</v>
      </c>
    </row>
    <row r="1883" spans="1:11" x14ac:dyDescent="0.25">
      <c r="A1883" t="str">
        <f>"00166995 / 1"</f>
        <v>00166995 / 1</v>
      </c>
      <c r="B1883" t="str">
        <f>"13° Salário Anual"</f>
        <v>13° Salário Anual</v>
      </c>
      <c r="C1883" t="str">
        <f>"Rosimar Calado de Amorim"</f>
        <v>Rosimar Calado de Amorim</v>
      </c>
      <c r="D1883" t="str">
        <f>"AUXILIAR MUNICIPAL"</f>
        <v>AUXILIAR MUNICIPAL</v>
      </c>
      <c r="E1883" t="str">
        <f>"Efetivo-Inativos II-RJUSM"</f>
        <v>Efetivo-Inativos II-RJUSM</v>
      </c>
      <c r="F1883" t="str">
        <f>"R$ 1.100,00"</f>
        <v>R$ 1.100,00</v>
      </c>
      <c r="G1883" t="str">
        <f>"R$ 1.100,00"</f>
        <v>R$ 1.100,00</v>
      </c>
      <c r="H1883" t="str">
        <f t="shared" si="196"/>
        <v>R$ 0,00</v>
      </c>
      <c r="I1883" t="str">
        <f>"R$ 1.100,00"</f>
        <v>R$ 1.100,00</v>
      </c>
      <c r="J1883" t="str">
        <f>"R$ 550,00"</f>
        <v>R$ 550,00</v>
      </c>
      <c r="K1883" t="str">
        <f>"R$ 550,00"</f>
        <v>R$ 550,00</v>
      </c>
    </row>
    <row r="1884" spans="1:11" x14ac:dyDescent="0.25">
      <c r="A1884" t="str">
        <f>"00166995 / 1"</f>
        <v>00166995 / 1</v>
      </c>
      <c r="B1884" t="str">
        <f>"Folha Mensal"</f>
        <v>Folha Mensal</v>
      </c>
      <c r="C1884" t="str">
        <f>"Rosimar Calado de Amorim"</f>
        <v>Rosimar Calado de Amorim</v>
      </c>
      <c r="D1884" t="str">
        <f>"AUXILIAR MUNICIPAL"</f>
        <v>AUXILIAR MUNICIPAL</v>
      </c>
      <c r="E1884" t="str">
        <f>"Efetivo-Inativos II-RJUSM"</f>
        <v>Efetivo-Inativos II-RJUSM</v>
      </c>
      <c r="F1884" t="str">
        <f>"R$ 1.100,00"</f>
        <v>R$ 1.100,00</v>
      </c>
      <c r="G1884" t="str">
        <f>"R$ 1.100,00"</f>
        <v>R$ 1.100,00</v>
      </c>
      <c r="H1884" t="str">
        <f t="shared" si="196"/>
        <v>R$ 0,00</v>
      </c>
      <c r="I1884" t="str">
        <f>"R$ 1.100,00"</f>
        <v>R$ 1.100,00</v>
      </c>
      <c r="J1884" t="str">
        <f>"R$ 0,00"</f>
        <v>R$ 0,00</v>
      </c>
      <c r="K1884" t="str">
        <f>"R$ 1.100,00"</f>
        <v>R$ 1.100,00</v>
      </c>
    </row>
    <row r="1885" spans="1:11" x14ac:dyDescent="0.25">
      <c r="A1885" t="str">
        <f>"03641597 / 1"</f>
        <v>03641597 / 1</v>
      </c>
      <c r="B1885" t="str">
        <f>"13° Salário Anual"</f>
        <v>13° Salário Anual</v>
      </c>
      <c r="C1885" t="str">
        <f>"Ruan Victor Gonzaga Teixeira"</f>
        <v>Ruan Victor Gonzaga Teixeira</v>
      </c>
      <c r="D1885" t="str">
        <f>"PENS TEMP ATE 13/04/28"</f>
        <v>PENS TEMP ATE 13/04/28</v>
      </c>
      <c r="E1885" t="str">
        <f>"Pensionista"</f>
        <v>Pensionista</v>
      </c>
      <c r="F1885" t="str">
        <f>"R$ 985,36"</f>
        <v>R$ 985,36</v>
      </c>
      <c r="G1885" t="str">
        <f>"R$ 2.266,32"</f>
        <v>R$ 2.266,32</v>
      </c>
      <c r="H1885" t="str">
        <f t="shared" si="196"/>
        <v>R$ 0,00</v>
      </c>
      <c r="I1885" t="str">
        <f>"R$ 2.266,32"</f>
        <v>R$ 2.266,32</v>
      </c>
      <c r="J1885" t="str">
        <f>"R$ 1.160,33"</f>
        <v>R$ 1.160,33</v>
      </c>
      <c r="K1885" t="str">
        <f>"R$ 1.105,99"</f>
        <v>R$ 1.105,99</v>
      </c>
    </row>
    <row r="1886" spans="1:11" x14ac:dyDescent="0.25">
      <c r="A1886" t="str">
        <f>"03641597 / 1"</f>
        <v>03641597 / 1</v>
      </c>
      <c r="B1886" t="str">
        <f>"Folha Mensal"</f>
        <v>Folha Mensal</v>
      </c>
      <c r="C1886" t="str">
        <f>"Ruan Victor Gonzaga Teixeira"</f>
        <v>Ruan Victor Gonzaga Teixeira</v>
      </c>
      <c r="D1886" t="str">
        <f>"PENS TEMP ATE 13/04/28"</f>
        <v>PENS TEMP ATE 13/04/28</v>
      </c>
      <c r="E1886" t="str">
        <f>"Pensionista"</f>
        <v>Pensionista</v>
      </c>
      <c r="F1886" t="str">
        <f>"R$ 985,36"</f>
        <v>R$ 985,36</v>
      </c>
      <c r="G1886" t="str">
        <f>"R$ 2.266,32"</f>
        <v>R$ 2.266,32</v>
      </c>
      <c r="H1886" t="str">
        <f t="shared" si="196"/>
        <v>R$ 0,00</v>
      </c>
      <c r="I1886" t="str">
        <f>"R$ 2.266,32"</f>
        <v>R$ 2.266,32</v>
      </c>
      <c r="J1886" t="str">
        <f>"R$ 0,00"</f>
        <v>R$ 0,00</v>
      </c>
      <c r="K1886" t="str">
        <f>"R$ 2.266,32"</f>
        <v>R$ 2.266,32</v>
      </c>
    </row>
    <row r="1887" spans="1:11" x14ac:dyDescent="0.25">
      <c r="A1887" t="str">
        <f>"00024031 / 1"</f>
        <v>00024031 / 1</v>
      </c>
      <c r="B1887" t="str">
        <f>"13° Salário Anual"</f>
        <v>13° Salário Anual</v>
      </c>
      <c r="C1887" t="str">
        <f>"Rubenita Soares da Silva"</f>
        <v>Rubenita Soares da Silva</v>
      </c>
      <c r="D1887" t="str">
        <f>"INT TEMP SERVICO"</f>
        <v>INT TEMP SERVICO</v>
      </c>
      <c r="E1887" t="str">
        <f>"Efetivo-Inativo I- RJUSM"</f>
        <v>Efetivo-Inativo I- RJUSM</v>
      </c>
      <c r="F1887" t="str">
        <f>"R$ 1.100,00"</f>
        <v>R$ 1.100,00</v>
      </c>
      <c r="G1887" t="str">
        <f>"R$ 1.375,00"</f>
        <v>R$ 1.375,00</v>
      </c>
      <c r="H1887" t="str">
        <f t="shared" si="196"/>
        <v>R$ 0,00</v>
      </c>
      <c r="I1887" t="str">
        <f>"R$ 1.375,00"</f>
        <v>R$ 1.375,00</v>
      </c>
      <c r="J1887" t="str">
        <f>"R$ 687,50"</f>
        <v>R$ 687,50</v>
      </c>
      <c r="K1887" t="str">
        <f>"R$ 687,50"</f>
        <v>R$ 687,50</v>
      </c>
    </row>
    <row r="1888" spans="1:11" x14ac:dyDescent="0.25">
      <c r="A1888" t="str">
        <f>"00024031 / 1"</f>
        <v>00024031 / 1</v>
      </c>
      <c r="B1888" t="str">
        <f>"Folha Mensal"</f>
        <v>Folha Mensal</v>
      </c>
      <c r="C1888" t="str">
        <f>"Rubenita Soares da Silva"</f>
        <v>Rubenita Soares da Silva</v>
      </c>
      <c r="D1888" t="str">
        <f>"INT TEMP SERVICO"</f>
        <v>INT TEMP SERVICO</v>
      </c>
      <c r="E1888" t="str">
        <f>"Efetivo-Inativo I- RJUSM"</f>
        <v>Efetivo-Inativo I- RJUSM</v>
      </c>
      <c r="F1888" t="str">
        <f>"R$ 1.100,00"</f>
        <v>R$ 1.100,00</v>
      </c>
      <c r="G1888" t="str">
        <f>"R$ 1.375,00"</f>
        <v>R$ 1.375,00</v>
      </c>
      <c r="H1888" t="str">
        <f t="shared" si="196"/>
        <v>R$ 0,00</v>
      </c>
      <c r="I1888" t="str">
        <f>"R$ 1.375,00"</f>
        <v>R$ 1.375,00</v>
      </c>
      <c r="J1888" t="str">
        <f>"R$ 0,00"</f>
        <v>R$ 0,00</v>
      </c>
      <c r="K1888" t="str">
        <f>"R$ 1.375,00"</f>
        <v>R$ 1.375,00</v>
      </c>
    </row>
    <row r="1889" spans="1:11" x14ac:dyDescent="0.25">
      <c r="A1889" t="str">
        <f>"03640639 / 1"</f>
        <v>03640639 / 1</v>
      </c>
      <c r="B1889" t="str">
        <f>"13° Salário Anual"</f>
        <v>13° Salário Anual</v>
      </c>
      <c r="C1889" t="str">
        <f>"Rui dos Santos Santana"</f>
        <v>Rui dos Santos Santana</v>
      </c>
      <c r="D1889" t="str">
        <f>"DAS 03 B"</f>
        <v>DAS 03 B</v>
      </c>
      <c r="E1889" t="str">
        <f>"Comissionado"</f>
        <v>Comissionado</v>
      </c>
      <c r="F1889" t="str">
        <f>"R$ 1.404,28"</f>
        <v>R$ 1.404,28</v>
      </c>
      <c r="G1889" t="str">
        <f>"R$ 1.287,25"</f>
        <v>R$ 1.287,25</v>
      </c>
      <c r="H1889" t="str">
        <f t="shared" si="196"/>
        <v>R$ 0,00</v>
      </c>
      <c r="I1889" t="str">
        <f>"R$ 1.287,25"</f>
        <v>R$ 1.287,25</v>
      </c>
      <c r="J1889" t="str">
        <f>"R$ 742,97"</f>
        <v>R$ 742,97</v>
      </c>
      <c r="K1889" t="str">
        <f>"R$ 544,28"</f>
        <v>R$ 544,28</v>
      </c>
    </row>
    <row r="1890" spans="1:11" x14ac:dyDescent="0.25">
      <c r="A1890" t="str">
        <f>"03640639 / 1"</f>
        <v>03640639 / 1</v>
      </c>
      <c r="B1890" t="str">
        <f>"Folha Mensal"</f>
        <v>Folha Mensal</v>
      </c>
      <c r="C1890" t="str">
        <f>"Rui dos Santos Santana"</f>
        <v>Rui dos Santos Santana</v>
      </c>
      <c r="D1890" t="str">
        <f>"DAS 03 B"</f>
        <v>DAS 03 B</v>
      </c>
      <c r="E1890" t="str">
        <f>"Comissionado"</f>
        <v>Comissionado</v>
      </c>
      <c r="F1890" t="str">
        <f>"R$ 1.404,28"</f>
        <v>R$ 1.404,28</v>
      </c>
      <c r="G1890" t="str">
        <f>"R$ 1.404,28"</f>
        <v>R$ 1.404,28</v>
      </c>
      <c r="H1890" t="str">
        <f t="shared" si="196"/>
        <v>R$ 0,00</v>
      </c>
      <c r="I1890" t="str">
        <f>"R$ 1.404,28"</f>
        <v>R$ 1.404,28</v>
      </c>
      <c r="J1890" t="str">
        <f>"R$ 109,88"</f>
        <v>R$ 109,88</v>
      </c>
      <c r="K1890" t="str">
        <f>"R$ 1.294,40"</f>
        <v>R$ 1.294,40</v>
      </c>
    </row>
    <row r="1891" spans="1:11" x14ac:dyDescent="0.25">
      <c r="A1891" t="str">
        <f>"00006823 / 1"</f>
        <v>00006823 / 1</v>
      </c>
      <c r="B1891" t="str">
        <f>"13° Salário Anual"</f>
        <v>13° Salário Anual</v>
      </c>
      <c r="C1891" t="str">
        <f>"Rute Clea Leal Vieira"</f>
        <v>Rute Clea Leal Vieira</v>
      </c>
      <c r="D1891" t="str">
        <f>"PROFESSOR NIVEL III"</f>
        <v>PROFESSOR NIVEL III</v>
      </c>
      <c r="E1891" t="str">
        <f>"Efetivo-Inativos II-RJUSM"</f>
        <v>Efetivo-Inativos II-RJUSM</v>
      </c>
      <c r="F1891" t="str">
        <f>"R$ 6.055,17"</f>
        <v>R$ 6.055,17</v>
      </c>
      <c r="G1891" t="str">
        <f>"R$ 7.871,72"</f>
        <v>R$ 7.871,72</v>
      </c>
      <c r="H1891" t="str">
        <f t="shared" si="196"/>
        <v>R$ 0,00</v>
      </c>
      <c r="I1891" t="str">
        <f>"R$ 7.871,72"</f>
        <v>R$ 7.871,72</v>
      </c>
      <c r="J1891" t="str">
        <f>"R$ 5.410,94"</f>
        <v>R$ 5.410,94</v>
      </c>
      <c r="K1891" t="str">
        <f>"R$ 2.460,78"</f>
        <v>R$ 2.460,78</v>
      </c>
    </row>
    <row r="1892" spans="1:11" x14ac:dyDescent="0.25">
      <c r="A1892" t="str">
        <f>"00006823 / 1"</f>
        <v>00006823 / 1</v>
      </c>
      <c r="B1892" t="str">
        <f>"Folha Mensal"</f>
        <v>Folha Mensal</v>
      </c>
      <c r="C1892" t="str">
        <f>"Rute Clea Leal Vieira"</f>
        <v>Rute Clea Leal Vieira</v>
      </c>
      <c r="D1892" t="str">
        <f>"PROFESSOR NIVEL III"</f>
        <v>PROFESSOR NIVEL III</v>
      </c>
      <c r="E1892" t="str">
        <f>"Efetivo-Inativos II-RJUSM"</f>
        <v>Efetivo-Inativos II-RJUSM</v>
      </c>
      <c r="F1892" t="str">
        <f>"R$ 6.055,17"</f>
        <v>R$ 6.055,17</v>
      </c>
      <c r="G1892" t="str">
        <f>"R$ 7.871,72"</f>
        <v>R$ 7.871,72</v>
      </c>
      <c r="H1892" t="str">
        <f t="shared" si="196"/>
        <v>R$ 0,00</v>
      </c>
      <c r="I1892" t="str">
        <f>"R$ 7.871,72"</f>
        <v>R$ 7.871,72</v>
      </c>
      <c r="J1892" t="str">
        <f>"R$ 1.780,76"</f>
        <v>R$ 1.780,76</v>
      </c>
      <c r="K1892" t="str">
        <f>"R$ 6.090,96"</f>
        <v>R$ 6.090,96</v>
      </c>
    </row>
    <row r="1893" spans="1:11" x14ac:dyDescent="0.25">
      <c r="A1893" t="str">
        <f>"03641023 / 1"</f>
        <v>03641023 / 1</v>
      </c>
      <c r="B1893" t="str">
        <f>"13° Salário Anual"</f>
        <v>13° Salário Anual</v>
      </c>
      <c r="C1893" t="str">
        <f>"Rutiele Chavante de Sousa"</f>
        <v>Rutiele Chavante de Sousa</v>
      </c>
      <c r="D1893" t="str">
        <f>"PENSIONISTA"</f>
        <v>PENSIONISTA</v>
      </c>
      <c r="E1893" t="str">
        <f>"Pensionista"</f>
        <v>Pensionista</v>
      </c>
      <c r="F1893" t="str">
        <f>"R$ 1.100,00"</f>
        <v>R$ 1.100,00</v>
      </c>
      <c r="G1893" t="str">
        <f>"R$ 1.008,33"</f>
        <v>R$ 1.008,33</v>
      </c>
      <c r="H1893" t="str">
        <f t="shared" si="196"/>
        <v>R$ 0,00</v>
      </c>
      <c r="I1893" t="str">
        <f>"R$ 1.008,33"</f>
        <v>R$ 1.008,33</v>
      </c>
      <c r="J1893" t="str">
        <f>"R$ 504,16"</f>
        <v>R$ 504,16</v>
      </c>
      <c r="K1893" t="str">
        <f>"R$ 504,17"</f>
        <v>R$ 504,17</v>
      </c>
    </row>
    <row r="1894" spans="1:11" x14ac:dyDescent="0.25">
      <c r="A1894" t="str">
        <f>"03641023 / 1"</f>
        <v>03641023 / 1</v>
      </c>
      <c r="B1894" t="str">
        <f>"Folha Mensal"</f>
        <v>Folha Mensal</v>
      </c>
      <c r="C1894" t="str">
        <f>"Rutiele Chavante de Sousa"</f>
        <v>Rutiele Chavante de Sousa</v>
      </c>
      <c r="D1894" t="str">
        <f>"PENSIONISTA"</f>
        <v>PENSIONISTA</v>
      </c>
      <c r="E1894" t="str">
        <f>"Pensionista"</f>
        <v>Pensionista</v>
      </c>
      <c r="F1894" t="str">
        <f>"R$ 1.100,00"</f>
        <v>R$ 1.100,00</v>
      </c>
      <c r="G1894" t="str">
        <f>"R$ 1.100,00"</f>
        <v>R$ 1.100,00</v>
      </c>
      <c r="H1894" t="str">
        <f t="shared" si="196"/>
        <v>R$ 0,00</v>
      </c>
      <c r="I1894" t="str">
        <f>"R$ 1.100,00"</f>
        <v>R$ 1.100,00</v>
      </c>
      <c r="J1894" t="str">
        <f>"R$ 0,00"</f>
        <v>R$ 0,00</v>
      </c>
      <c r="K1894" t="str">
        <f>"R$ 1.100,00"</f>
        <v>R$ 1.100,00</v>
      </c>
    </row>
    <row r="1895" spans="1:11" x14ac:dyDescent="0.25">
      <c r="A1895" t="str">
        <f>"00016055 / 2"</f>
        <v>00016055 / 2</v>
      </c>
      <c r="B1895" t="str">
        <f>"13° Salário Anual"</f>
        <v>13° Salário Anual</v>
      </c>
      <c r="C1895" t="str">
        <f>"Safira Moreira da Silva"</f>
        <v>Safira Moreira da Silva</v>
      </c>
      <c r="D1895" t="str">
        <f>"PROP INVALIDEZ"</f>
        <v>PROP INVALIDEZ</v>
      </c>
      <c r="E1895" t="str">
        <f t="shared" ref="E1895:E1900" si="197">"Efetivo-Inativo I- RJUSM"</f>
        <v>Efetivo-Inativo I- RJUSM</v>
      </c>
      <c r="F1895" t="str">
        <f>"R$ 1.016,38"</f>
        <v>R$ 1.016,38</v>
      </c>
      <c r="G1895" t="str">
        <f>"R$ 1.100,00"</f>
        <v>R$ 1.100,00</v>
      </c>
      <c r="H1895" t="str">
        <f t="shared" si="196"/>
        <v>R$ 0,00</v>
      </c>
      <c r="I1895" t="str">
        <f>"R$ 1.100,00"</f>
        <v>R$ 1.100,00</v>
      </c>
      <c r="J1895" t="str">
        <f>"R$ 550,00"</f>
        <v>R$ 550,00</v>
      </c>
      <c r="K1895" t="str">
        <f>"R$ 550,00"</f>
        <v>R$ 550,00</v>
      </c>
    </row>
    <row r="1896" spans="1:11" x14ac:dyDescent="0.25">
      <c r="A1896" t="str">
        <f>"00016055 / 2"</f>
        <v>00016055 / 2</v>
      </c>
      <c r="B1896" t="str">
        <f>"Folha Mensal"</f>
        <v>Folha Mensal</v>
      </c>
      <c r="C1896" t="str">
        <f>"Safira Moreira da Silva"</f>
        <v>Safira Moreira da Silva</v>
      </c>
      <c r="D1896" t="str">
        <f>"PROP INVALIDEZ"</f>
        <v>PROP INVALIDEZ</v>
      </c>
      <c r="E1896" t="str">
        <f t="shared" si="197"/>
        <v>Efetivo-Inativo I- RJUSM</v>
      </c>
      <c r="F1896" t="str">
        <f>"R$ 1.016,38"</f>
        <v>R$ 1.016,38</v>
      </c>
      <c r="G1896" t="str">
        <f>"R$ 1.100,00"</f>
        <v>R$ 1.100,00</v>
      </c>
      <c r="H1896" t="str">
        <f t="shared" si="196"/>
        <v>R$ 0,00</v>
      </c>
      <c r="I1896" t="str">
        <f>"R$ 1.100,00"</f>
        <v>R$ 1.100,00</v>
      </c>
      <c r="J1896" t="str">
        <f>"R$ 295,85"</f>
        <v>R$ 295,85</v>
      </c>
      <c r="K1896" t="str">
        <f>"R$ 804,15"</f>
        <v>R$ 804,15</v>
      </c>
    </row>
    <row r="1897" spans="1:11" x14ac:dyDescent="0.25">
      <c r="A1897" t="str">
        <f>"00042188 / 1"</f>
        <v>00042188 / 1</v>
      </c>
      <c r="B1897" t="str">
        <f>"13° Salário Anual"</f>
        <v>13° Salário Anual</v>
      </c>
      <c r="C1897" t="str">
        <f>"Sandra Helena Aires da Silva"</f>
        <v>Sandra Helena Aires da Silva</v>
      </c>
      <c r="D1897" t="str">
        <f>"PROFESSOR"</f>
        <v>PROFESSOR</v>
      </c>
      <c r="E1897" t="str">
        <f t="shared" si="197"/>
        <v>Efetivo-Inativo I- RJUSM</v>
      </c>
      <c r="F1897" t="str">
        <f>"R$ 2.071,51"</f>
        <v>R$ 2.071,51</v>
      </c>
      <c r="G1897" t="str">
        <f>"R$ 2.589,38"</f>
        <v>R$ 2.589,38</v>
      </c>
      <c r="H1897" t="str">
        <f t="shared" si="196"/>
        <v>R$ 0,00</v>
      </c>
      <c r="I1897" t="str">
        <f>"R$ 2.589,38"</f>
        <v>R$ 2.589,38</v>
      </c>
      <c r="J1897" t="str">
        <f>"R$ 1.331,87"</f>
        <v>R$ 1.331,87</v>
      </c>
      <c r="K1897" t="str">
        <f>"R$ 1.257,51"</f>
        <v>R$ 1.257,51</v>
      </c>
    </row>
    <row r="1898" spans="1:11" x14ac:dyDescent="0.25">
      <c r="A1898" t="str">
        <f>"00042188 / 1"</f>
        <v>00042188 / 1</v>
      </c>
      <c r="B1898" t="str">
        <f>"Folha Mensal"</f>
        <v>Folha Mensal</v>
      </c>
      <c r="C1898" t="str">
        <f>"Sandra Helena Aires da Silva"</f>
        <v>Sandra Helena Aires da Silva</v>
      </c>
      <c r="D1898" t="str">
        <f>"PROFESSOR"</f>
        <v>PROFESSOR</v>
      </c>
      <c r="E1898" t="str">
        <f t="shared" si="197"/>
        <v>Efetivo-Inativo I- RJUSM</v>
      </c>
      <c r="F1898" t="str">
        <f>"R$ 2.071,51"</f>
        <v>R$ 2.071,51</v>
      </c>
      <c r="G1898" t="str">
        <f>"R$ 2.589,38"</f>
        <v>R$ 2.589,38</v>
      </c>
      <c r="H1898" t="str">
        <f t="shared" si="196"/>
        <v>R$ 0,00</v>
      </c>
      <c r="I1898" t="str">
        <f>"R$ 2.589,38"</f>
        <v>R$ 2.589,38</v>
      </c>
      <c r="J1898" t="str">
        <f>"R$ 797,72"</f>
        <v>R$ 797,72</v>
      </c>
      <c r="K1898" t="str">
        <f>"R$ 1.791,66"</f>
        <v>R$ 1.791,66</v>
      </c>
    </row>
    <row r="1899" spans="1:11" x14ac:dyDescent="0.25">
      <c r="A1899" t="str">
        <f>"00003697 / 1"</f>
        <v>00003697 / 1</v>
      </c>
      <c r="B1899" t="str">
        <f>"13° Salário Anual"</f>
        <v>13° Salário Anual</v>
      </c>
      <c r="C1899" t="str">
        <f>"Sandra Helena Lopes Mesquita"</f>
        <v>Sandra Helena Lopes Mesquita</v>
      </c>
      <c r="D1899" t="str">
        <f>"PROFESSOR NIVEL I"</f>
        <v>PROFESSOR NIVEL I</v>
      </c>
      <c r="E1899" t="str">
        <f t="shared" si="197"/>
        <v>Efetivo-Inativo I- RJUSM</v>
      </c>
      <c r="F1899" t="str">
        <f>"R$ 4.621,06"</f>
        <v>R$ 4.621,06</v>
      </c>
      <c r="G1899" t="str">
        <f>"R$ 6.007,37"</f>
        <v>R$ 6.007,37</v>
      </c>
      <c r="H1899" t="str">
        <f t="shared" si="196"/>
        <v>R$ 0,00</v>
      </c>
      <c r="I1899" t="str">
        <f>"R$ 6.007,37"</f>
        <v>R$ 6.007,37</v>
      </c>
      <c r="J1899" t="str">
        <f>"R$ 3.734,20"</f>
        <v>R$ 3.734,20</v>
      </c>
      <c r="K1899" t="str">
        <f>"R$ 2.273,17"</f>
        <v>R$ 2.273,17</v>
      </c>
    </row>
    <row r="1900" spans="1:11" x14ac:dyDescent="0.25">
      <c r="A1900" t="str">
        <f>"00003697 / 1"</f>
        <v>00003697 / 1</v>
      </c>
      <c r="B1900" t="str">
        <f>"Folha Mensal"</f>
        <v>Folha Mensal</v>
      </c>
      <c r="C1900" t="str">
        <f>"Sandra Helena Lopes Mesquita"</f>
        <v>Sandra Helena Lopes Mesquita</v>
      </c>
      <c r="D1900" t="str">
        <f>"PROFESSOR NIVEL I"</f>
        <v>PROFESSOR NIVEL I</v>
      </c>
      <c r="E1900" t="str">
        <f t="shared" si="197"/>
        <v>Efetivo-Inativo I- RJUSM</v>
      </c>
      <c r="F1900" t="str">
        <f>"R$ 4.621,06"</f>
        <v>R$ 4.621,06</v>
      </c>
      <c r="G1900" t="str">
        <f>"R$ 6.007,37"</f>
        <v>R$ 6.007,37</v>
      </c>
      <c r="H1900" t="str">
        <f t="shared" si="196"/>
        <v>R$ 0,00</v>
      </c>
      <c r="I1900" t="str">
        <f>"R$ 6.007,37"</f>
        <v>R$ 6.007,37</v>
      </c>
      <c r="J1900" t="str">
        <f>"R$ 2.312,57"</f>
        <v>R$ 2.312,57</v>
      </c>
      <c r="K1900" t="str">
        <f>"R$ 3.694,80"</f>
        <v>R$ 3.694,80</v>
      </c>
    </row>
    <row r="1901" spans="1:11" x14ac:dyDescent="0.25">
      <c r="A1901" t="str">
        <f>"00022764 / 1"</f>
        <v>00022764 / 1</v>
      </c>
      <c r="B1901" t="str">
        <f>"13° Salário Anual"</f>
        <v>13° Salário Anual</v>
      </c>
      <c r="C1901" t="str">
        <f>"Sandra Lucilene Pinheiro de Sousa"</f>
        <v>Sandra Lucilene Pinheiro de Sousa</v>
      </c>
      <c r="D1901" t="str">
        <f>"PROFESSOR NIVEL III"</f>
        <v>PROFESSOR NIVEL III</v>
      </c>
      <c r="E1901" t="str">
        <f t="shared" ref="E1901:E1908" si="198">"Efetivo-Inativos II-RJUSM"</f>
        <v>Efetivo-Inativos II-RJUSM</v>
      </c>
      <c r="F1901" t="str">
        <f>"R$ 5.045,97"</f>
        <v>R$ 5.045,97</v>
      </c>
      <c r="G1901" t="str">
        <f>"R$ 6.559,76"</f>
        <v>R$ 6.559,76</v>
      </c>
      <c r="H1901" t="str">
        <f t="shared" si="196"/>
        <v>R$ 0,00</v>
      </c>
      <c r="I1901" t="str">
        <f>"R$ 6.559,76"</f>
        <v>R$ 6.559,76</v>
      </c>
      <c r="J1901" t="str">
        <f>"R$ 4.261,00"</f>
        <v>R$ 4.261,00</v>
      </c>
      <c r="K1901" t="str">
        <f>"R$ 2.298,76"</f>
        <v>R$ 2.298,76</v>
      </c>
    </row>
    <row r="1902" spans="1:11" x14ac:dyDescent="0.25">
      <c r="A1902" t="str">
        <f>"00022764 / 1"</f>
        <v>00022764 / 1</v>
      </c>
      <c r="B1902" t="str">
        <f>"Folha Mensal"</f>
        <v>Folha Mensal</v>
      </c>
      <c r="C1902" t="str">
        <f>"Sandra Lucilene Pinheiro de Sousa"</f>
        <v>Sandra Lucilene Pinheiro de Sousa</v>
      </c>
      <c r="D1902" t="str">
        <f>"PROFESSOR NIVEL III"</f>
        <v>PROFESSOR NIVEL III</v>
      </c>
      <c r="E1902" t="str">
        <f t="shared" si="198"/>
        <v>Efetivo-Inativos II-RJUSM</v>
      </c>
      <c r="F1902" t="str">
        <f>"R$ 5.045,97"</f>
        <v>R$ 5.045,97</v>
      </c>
      <c r="G1902" t="str">
        <f>"R$ 6.559,76"</f>
        <v>R$ 6.559,76</v>
      </c>
      <c r="H1902" t="str">
        <f t="shared" si="196"/>
        <v>R$ 0,00</v>
      </c>
      <c r="I1902" t="str">
        <f>"R$ 6.559,76"</f>
        <v>R$ 6.559,76</v>
      </c>
      <c r="J1902" t="str">
        <f>"R$ 2.625,81"</f>
        <v>R$ 2.625,81</v>
      </c>
      <c r="K1902" t="str">
        <f>"R$ 3.933,95"</f>
        <v>R$ 3.933,95</v>
      </c>
    </row>
    <row r="1903" spans="1:11" x14ac:dyDescent="0.25">
      <c r="A1903" t="str">
        <f>"00027049 / 1"</f>
        <v>00027049 / 1</v>
      </c>
      <c r="B1903" t="str">
        <f>"13° Salário Anual"</f>
        <v>13° Salário Anual</v>
      </c>
      <c r="C1903" t="str">
        <f>"Sandra Maria Azevedo dos Santos Dias"</f>
        <v>Sandra Maria Azevedo dos Santos Dias</v>
      </c>
      <c r="D1903" t="str">
        <f>"PROFESSOR NIVEL III"</f>
        <v>PROFESSOR NIVEL III</v>
      </c>
      <c r="E1903" t="str">
        <f t="shared" si="198"/>
        <v>Efetivo-Inativos II-RJUSM</v>
      </c>
      <c r="F1903" t="str">
        <f>"R$ 6.055,17"</f>
        <v>R$ 6.055,17</v>
      </c>
      <c r="G1903" t="str">
        <f>"R$ 12.594,75"</f>
        <v>R$ 12.594,75</v>
      </c>
      <c r="H1903" t="str">
        <f t="shared" si="196"/>
        <v>R$ 0,00</v>
      </c>
      <c r="I1903" t="str">
        <f>"R$ 12.594,75"</f>
        <v>R$ 12.594,75</v>
      </c>
      <c r="J1903" t="str">
        <f>"R$ 7.206,48"</f>
        <v>R$ 7.206,48</v>
      </c>
      <c r="K1903" t="str">
        <f>"R$ 5.388,27"</f>
        <v>R$ 5.388,27</v>
      </c>
    </row>
    <row r="1904" spans="1:11" x14ac:dyDescent="0.25">
      <c r="A1904" t="str">
        <f>"00027049 / 1"</f>
        <v>00027049 / 1</v>
      </c>
      <c r="B1904" t="str">
        <f>"Folha Mensal"</f>
        <v>Folha Mensal</v>
      </c>
      <c r="C1904" t="str">
        <f>"Sandra Maria Azevedo dos Santos Dias"</f>
        <v>Sandra Maria Azevedo dos Santos Dias</v>
      </c>
      <c r="D1904" t="str">
        <f>"PROFESSOR NIVEL III"</f>
        <v>PROFESSOR NIVEL III</v>
      </c>
      <c r="E1904" t="str">
        <f t="shared" si="198"/>
        <v>Efetivo-Inativos II-RJUSM</v>
      </c>
      <c r="F1904" t="str">
        <f>"R$ 6.055,17"</f>
        <v>R$ 6.055,17</v>
      </c>
      <c r="G1904" t="str">
        <f>"R$ 12.594,75"</f>
        <v>R$ 12.594,75</v>
      </c>
      <c r="H1904" t="str">
        <f t="shared" si="196"/>
        <v>R$ 0,00</v>
      </c>
      <c r="I1904" t="str">
        <f>"R$ 12.594,75"</f>
        <v>R$ 12.594,75</v>
      </c>
      <c r="J1904" t="str">
        <f>"R$ 909,11"</f>
        <v>R$ 909,11</v>
      </c>
      <c r="K1904" t="str">
        <f>"R$ 11.685,64"</f>
        <v>R$ 11.685,64</v>
      </c>
    </row>
    <row r="1905" spans="1:11" x14ac:dyDescent="0.25">
      <c r="A1905" t="str">
        <f>"00187518 / 1"</f>
        <v>00187518 / 1</v>
      </c>
      <c r="B1905" t="str">
        <f>"13° Salário Anual"</f>
        <v>13° Salário Anual</v>
      </c>
      <c r="C1905" t="str">
        <f>"Sandra Maria Barbosa de Sousa"</f>
        <v>Sandra Maria Barbosa de Sousa</v>
      </c>
      <c r="D1905" t="str">
        <f>"AUXILIAR MUNICIPAL"</f>
        <v>AUXILIAR MUNICIPAL</v>
      </c>
      <c r="E1905" t="str">
        <f t="shared" si="198"/>
        <v>Efetivo-Inativos II-RJUSM</v>
      </c>
      <c r="F1905" t="str">
        <f>"R$ 1.100,00"</f>
        <v>R$ 1.100,00</v>
      </c>
      <c r="G1905" t="str">
        <f>"R$ 1.100,00"</f>
        <v>R$ 1.100,00</v>
      </c>
      <c r="H1905" t="str">
        <f t="shared" si="196"/>
        <v>R$ 0,00</v>
      </c>
      <c r="I1905" t="str">
        <f>"R$ 1.100,00"</f>
        <v>R$ 1.100,00</v>
      </c>
      <c r="J1905" t="str">
        <f>"R$ 550,00"</f>
        <v>R$ 550,00</v>
      </c>
      <c r="K1905" t="str">
        <f>"R$ 550,00"</f>
        <v>R$ 550,00</v>
      </c>
    </row>
    <row r="1906" spans="1:11" x14ac:dyDescent="0.25">
      <c r="A1906" t="str">
        <f>"00187518 / 1"</f>
        <v>00187518 / 1</v>
      </c>
      <c r="B1906" t="str">
        <f>"Folha Mensal"</f>
        <v>Folha Mensal</v>
      </c>
      <c r="C1906" t="str">
        <f>"Sandra Maria Barbosa de Sousa"</f>
        <v>Sandra Maria Barbosa de Sousa</v>
      </c>
      <c r="D1906" t="str">
        <f>"AUXILIAR MUNICIPAL"</f>
        <v>AUXILIAR MUNICIPAL</v>
      </c>
      <c r="E1906" t="str">
        <f t="shared" si="198"/>
        <v>Efetivo-Inativos II-RJUSM</v>
      </c>
      <c r="F1906" t="str">
        <f>"R$ 1.100,00"</f>
        <v>R$ 1.100,00</v>
      </c>
      <c r="G1906" t="str">
        <f>"R$ 1.100,00"</f>
        <v>R$ 1.100,00</v>
      </c>
      <c r="H1906" t="str">
        <f t="shared" si="196"/>
        <v>R$ 0,00</v>
      </c>
      <c r="I1906" t="str">
        <f>"R$ 1.100,00"</f>
        <v>R$ 1.100,00</v>
      </c>
      <c r="J1906" t="str">
        <f>"R$ 0,00"</f>
        <v>R$ 0,00</v>
      </c>
      <c r="K1906" t="str">
        <f>"R$ 1.100,00"</f>
        <v>R$ 1.100,00</v>
      </c>
    </row>
    <row r="1907" spans="1:11" x14ac:dyDescent="0.25">
      <c r="A1907" t="str">
        <f>"00029335 / 1"</f>
        <v>00029335 / 1</v>
      </c>
      <c r="B1907" t="str">
        <f>"13° Salário Anual"</f>
        <v>13° Salário Anual</v>
      </c>
      <c r="C1907" t="str">
        <f>"Sandra Maria Campelo Cunha"</f>
        <v>Sandra Maria Campelo Cunha</v>
      </c>
      <c r="D1907" t="str">
        <f>"PROFESSOR NIVEL III"</f>
        <v>PROFESSOR NIVEL III</v>
      </c>
      <c r="E1907" t="str">
        <f t="shared" si="198"/>
        <v>Efetivo-Inativos II-RJUSM</v>
      </c>
      <c r="F1907" t="str">
        <f>"R$ 5.045,97"</f>
        <v>R$ 5.045,97</v>
      </c>
      <c r="G1907" t="str">
        <f>"R$ 6.559,76"</f>
        <v>R$ 6.559,76</v>
      </c>
      <c r="H1907" t="str">
        <f t="shared" si="196"/>
        <v>R$ 0,00</v>
      </c>
      <c r="I1907" t="str">
        <f>"R$ 6.559,76"</f>
        <v>R$ 6.559,76</v>
      </c>
      <c r="J1907" t="str">
        <f>"R$ 4.208,86"</f>
        <v>R$ 4.208,86</v>
      </c>
      <c r="K1907" t="str">
        <f>"R$ 2.350,90"</f>
        <v>R$ 2.350,90</v>
      </c>
    </row>
    <row r="1908" spans="1:11" x14ac:dyDescent="0.25">
      <c r="A1908" t="str">
        <f>"00029335 / 1"</f>
        <v>00029335 / 1</v>
      </c>
      <c r="B1908" t="str">
        <f>"Folha Mensal"</f>
        <v>Folha Mensal</v>
      </c>
      <c r="C1908" t="str">
        <f>"Sandra Maria Campelo Cunha"</f>
        <v>Sandra Maria Campelo Cunha</v>
      </c>
      <c r="D1908" t="str">
        <f>"PROFESSOR NIVEL III"</f>
        <v>PROFESSOR NIVEL III</v>
      </c>
      <c r="E1908" t="str">
        <f t="shared" si="198"/>
        <v>Efetivo-Inativos II-RJUSM</v>
      </c>
      <c r="F1908" t="str">
        <f>"R$ 5.045,97"</f>
        <v>R$ 5.045,97</v>
      </c>
      <c r="G1908" t="str">
        <f>"R$ 6.559,76"</f>
        <v>R$ 6.559,76</v>
      </c>
      <c r="H1908" t="str">
        <f t="shared" si="196"/>
        <v>R$ 0,00</v>
      </c>
      <c r="I1908" t="str">
        <f>"R$ 6.559,76"</f>
        <v>R$ 6.559,76</v>
      </c>
      <c r="J1908" t="str">
        <f>"R$ 2.895,50"</f>
        <v>R$ 2.895,50</v>
      </c>
      <c r="K1908" t="str">
        <f>"R$ 3.664,26"</f>
        <v>R$ 3.664,26</v>
      </c>
    </row>
    <row r="1909" spans="1:11" x14ac:dyDescent="0.25">
      <c r="A1909" t="str">
        <f>"00007919 / 1"</f>
        <v>00007919 / 1</v>
      </c>
      <c r="B1909" t="str">
        <f>"13° Salário Anual"</f>
        <v>13° Salário Anual</v>
      </c>
      <c r="C1909" t="str">
        <f>"Sandra Maria de Vilhena Chagas"</f>
        <v>Sandra Maria de Vilhena Chagas</v>
      </c>
      <c r="D1909" t="str">
        <f>"PROFESSOR"</f>
        <v>PROFESSOR</v>
      </c>
      <c r="E1909" t="str">
        <f>"Efetivo-Inativo I- RJUSM"</f>
        <v>Efetivo-Inativo I- RJUSM</v>
      </c>
      <c r="F1909" t="str">
        <f>"R$ 3.616,17"</f>
        <v>R$ 3.616,17</v>
      </c>
      <c r="G1909" t="str">
        <f>"R$ 4.520,21"</f>
        <v>R$ 4.520,21</v>
      </c>
      <c r="H1909" t="str">
        <f t="shared" ref="H1909:H1940" si="199">"R$ 0,00"</f>
        <v>R$ 0,00</v>
      </c>
      <c r="I1909" t="str">
        <f>"R$ 4.520,21"</f>
        <v>R$ 4.520,21</v>
      </c>
      <c r="J1909" t="str">
        <f>"R$ 2.641,01"</f>
        <v>R$ 2.641,01</v>
      </c>
      <c r="K1909" t="str">
        <f>"R$ 1.879,20"</f>
        <v>R$ 1.879,20</v>
      </c>
    </row>
    <row r="1910" spans="1:11" x14ac:dyDescent="0.25">
      <c r="A1910" t="str">
        <f>"00007919 / 1"</f>
        <v>00007919 / 1</v>
      </c>
      <c r="B1910" t="str">
        <f>"Folha Mensal"</f>
        <v>Folha Mensal</v>
      </c>
      <c r="C1910" t="str">
        <f>"Sandra Maria de Vilhena Chagas"</f>
        <v>Sandra Maria de Vilhena Chagas</v>
      </c>
      <c r="D1910" t="str">
        <f>"PROFESSOR"</f>
        <v>PROFESSOR</v>
      </c>
      <c r="E1910" t="str">
        <f>"Efetivo-Inativo I- RJUSM"</f>
        <v>Efetivo-Inativo I- RJUSM</v>
      </c>
      <c r="F1910" t="str">
        <f>"R$ 3.616,17"</f>
        <v>R$ 3.616,17</v>
      </c>
      <c r="G1910" t="str">
        <f>"R$ 4.520,21"</f>
        <v>R$ 4.520,21</v>
      </c>
      <c r="H1910" t="str">
        <f t="shared" si="199"/>
        <v>R$ 0,00</v>
      </c>
      <c r="I1910" t="str">
        <f>"R$ 4.520,21"</f>
        <v>R$ 4.520,21</v>
      </c>
      <c r="J1910" t="str">
        <f>"R$ 620,82"</f>
        <v>R$ 620,82</v>
      </c>
      <c r="K1910" t="str">
        <f>"R$ 3.899,39"</f>
        <v>R$ 3.899,39</v>
      </c>
    </row>
    <row r="1911" spans="1:11" x14ac:dyDescent="0.25">
      <c r="A1911" t="str">
        <f>"00026697 / 1"</f>
        <v>00026697 / 1</v>
      </c>
      <c r="B1911" t="str">
        <f>"13° Salário Anual"</f>
        <v>13° Salário Anual</v>
      </c>
      <c r="C1911" t="str">
        <f>"Sandra Maria Moreira de Araujo"</f>
        <v>Sandra Maria Moreira de Araujo</v>
      </c>
      <c r="D1911" t="str">
        <f>"AUXILIAR MUNICIPAL"</f>
        <v>AUXILIAR MUNICIPAL</v>
      </c>
      <c r="E1911" t="str">
        <f>"Efetivo-Inativos II-RJUSM"</f>
        <v>Efetivo-Inativos II-RJUSM</v>
      </c>
      <c r="F1911" t="str">
        <f>"R$ 1.100,00"</f>
        <v>R$ 1.100,00</v>
      </c>
      <c r="G1911" t="str">
        <f>"R$ 1.375,00"</f>
        <v>R$ 1.375,00</v>
      </c>
      <c r="H1911" t="str">
        <f t="shared" si="199"/>
        <v>R$ 0,00</v>
      </c>
      <c r="I1911" t="str">
        <f>"R$ 1.375,00"</f>
        <v>R$ 1.375,00</v>
      </c>
      <c r="J1911" t="str">
        <f>"R$ 687,50"</f>
        <v>R$ 687,50</v>
      </c>
      <c r="K1911" t="str">
        <f>"R$ 687,50"</f>
        <v>R$ 687,50</v>
      </c>
    </row>
    <row r="1912" spans="1:11" x14ac:dyDescent="0.25">
      <c r="A1912" t="str">
        <f>"00026697 / 1"</f>
        <v>00026697 / 1</v>
      </c>
      <c r="B1912" t="str">
        <f>"Folha Mensal"</f>
        <v>Folha Mensal</v>
      </c>
      <c r="C1912" t="str">
        <f>"Sandra Maria Moreira de Araujo"</f>
        <v>Sandra Maria Moreira de Araujo</v>
      </c>
      <c r="D1912" t="str">
        <f>"AUXILIAR MUNICIPAL"</f>
        <v>AUXILIAR MUNICIPAL</v>
      </c>
      <c r="E1912" t="str">
        <f>"Efetivo-Inativos II-RJUSM"</f>
        <v>Efetivo-Inativos II-RJUSM</v>
      </c>
      <c r="F1912" t="str">
        <f>"R$ 1.100,00"</f>
        <v>R$ 1.100,00</v>
      </c>
      <c r="G1912" t="str">
        <f>"R$ 1.375,00"</f>
        <v>R$ 1.375,00</v>
      </c>
      <c r="H1912" t="str">
        <f t="shared" si="199"/>
        <v>R$ 0,00</v>
      </c>
      <c r="I1912" t="str">
        <f>"R$ 1.375,00"</f>
        <v>R$ 1.375,00</v>
      </c>
      <c r="J1912" t="str">
        <f>"R$ 0,00"</f>
        <v>R$ 0,00</v>
      </c>
      <c r="K1912" t="str">
        <f>"R$ 1.375,00"</f>
        <v>R$ 1.375,00</v>
      </c>
    </row>
    <row r="1913" spans="1:11" x14ac:dyDescent="0.25">
      <c r="A1913" t="str">
        <f>"00011150 / 1"</f>
        <v>00011150 / 1</v>
      </c>
      <c r="B1913" t="str">
        <f>"13° Salário Anual"</f>
        <v>13° Salário Anual</v>
      </c>
      <c r="C1913" t="str">
        <f>"Sandra Maria Rodrigues Goncalves Nepomuceno"</f>
        <v>Sandra Maria Rodrigues Goncalves Nepomuceno</v>
      </c>
      <c r="D1913" t="str">
        <f>"PROFESSOR"</f>
        <v>PROFESSOR</v>
      </c>
      <c r="E1913" t="str">
        <f>"Efetivo-Inativo I- RJUSM"</f>
        <v>Efetivo-Inativo I- RJUSM</v>
      </c>
      <c r="F1913" t="str">
        <f>"R$ 2.071,51"</f>
        <v>R$ 2.071,51</v>
      </c>
      <c r="G1913" t="str">
        <f>"R$ 2.692,96"</f>
        <v>R$ 2.692,96</v>
      </c>
      <c r="H1913" t="str">
        <f t="shared" si="199"/>
        <v>R$ 0,00</v>
      </c>
      <c r="I1913" t="str">
        <f>"R$ 2.692,96"</f>
        <v>R$ 2.692,96</v>
      </c>
      <c r="J1913" t="str">
        <f>"R$ 1.391,43"</f>
        <v>R$ 1.391,43</v>
      </c>
      <c r="K1913" t="str">
        <f>"R$ 1.301,53"</f>
        <v>R$ 1.301,53</v>
      </c>
    </row>
    <row r="1914" spans="1:11" x14ac:dyDescent="0.25">
      <c r="A1914" t="str">
        <f>"00011150 / 1"</f>
        <v>00011150 / 1</v>
      </c>
      <c r="B1914" t="str">
        <f>"Folha Mensal"</f>
        <v>Folha Mensal</v>
      </c>
      <c r="C1914" t="str">
        <f>"Sandra Maria Rodrigues Goncalves Nepomuceno"</f>
        <v>Sandra Maria Rodrigues Goncalves Nepomuceno</v>
      </c>
      <c r="D1914" t="str">
        <f>"PROFESSOR"</f>
        <v>PROFESSOR</v>
      </c>
      <c r="E1914" t="str">
        <f>"Efetivo-Inativo I- RJUSM"</f>
        <v>Efetivo-Inativo I- RJUSM</v>
      </c>
      <c r="F1914" t="str">
        <f>"R$ 2.071,51"</f>
        <v>R$ 2.071,51</v>
      </c>
      <c r="G1914" t="str">
        <f>"R$ 2.692,96"</f>
        <v>R$ 2.692,96</v>
      </c>
      <c r="H1914" t="str">
        <f t="shared" si="199"/>
        <v>R$ 0,00</v>
      </c>
      <c r="I1914" t="str">
        <f>"R$ 2.692,96"</f>
        <v>R$ 2.692,96</v>
      </c>
      <c r="J1914" t="str">
        <f>"R$ 960,72"</f>
        <v>R$ 960,72</v>
      </c>
      <c r="K1914" t="str">
        <f>"R$ 1.732,24"</f>
        <v>R$ 1.732,24</v>
      </c>
    </row>
    <row r="1915" spans="1:11" x14ac:dyDescent="0.25">
      <c r="A1915" t="str">
        <f>"00027081 / 2"</f>
        <v>00027081 / 2</v>
      </c>
      <c r="B1915" t="str">
        <f>"13° Salário Anual"</f>
        <v>13° Salário Anual</v>
      </c>
      <c r="C1915" t="str">
        <f>"Sandra Regina de Almeida"</f>
        <v>Sandra Regina de Almeida</v>
      </c>
      <c r="D1915" t="str">
        <f>"INT TEMP CONTRIBUICAO"</f>
        <v>INT TEMP CONTRIBUICAO</v>
      </c>
      <c r="E1915" t="str">
        <f>"Efetivo-Inativos II-RJUSM"</f>
        <v>Efetivo-Inativos II-RJUSM</v>
      </c>
      <c r="F1915" t="str">
        <f>"R$ 1.100,00"</f>
        <v>R$ 1.100,00</v>
      </c>
      <c r="G1915" t="str">
        <f>"R$ 1.430,00"</f>
        <v>R$ 1.430,00</v>
      </c>
      <c r="H1915" t="str">
        <f t="shared" si="199"/>
        <v>R$ 0,00</v>
      </c>
      <c r="I1915" t="str">
        <f>"R$ 1.430,00"</f>
        <v>R$ 1.430,00</v>
      </c>
      <c r="J1915" t="str">
        <f>"R$ 715,00"</f>
        <v>R$ 715,00</v>
      </c>
      <c r="K1915" t="str">
        <f>"R$ 715,00"</f>
        <v>R$ 715,00</v>
      </c>
    </row>
    <row r="1916" spans="1:11" x14ac:dyDescent="0.25">
      <c r="A1916" t="str">
        <f>"00027081 / 2"</f>
        <v>00027081 / 2</v>
      </c>
      <c r="B1916" t="str">
        <f>"Folha Mensal"</f>
        <v>Folha Mensal</v>
      </c>
      <c r="C1916" t="str">
        <f>"Sandra Regina de Almeida"</f>
        <v>Sandra Regina de Almeida</v>
      </c>
      <c r="D1916" t="str">
        <f>"INT TEMP CONTRIBUICAO"</f>
        <v>INT TEMP CONTRIBUICAO</v>
      </c>
      <c r="E1916" t="str">
        <f>"Efetivo-Inativos II-RJUSM"</f>
        <v>Efetivo-Inativos II-RJUSM</v>
      </c>
      <c r="F1916" t="str">
        <f>"R$ 1.100,00"</f>
        <v>R$ 1.100,00</v>
      </c>
      <c r="G1916" t="str">
        <f>"R$ 1.430,00"</f>
        <v>R$ 1.430,00</v>
      </c>
      <c r="H1916" t="str">
        <f t="shared" si="199"/>
        <v>R$ 0,00</v>
      </c>
      <c r="I1916" t="str">
        <f>"R$ 1.430,00"</f>
        <v>R$ 1.430,00</v>
      </c>
      <c r="J1916" t="str">
        <f>"R$ 252,40"</f>
        <v>R$ 252,40</v>
      </c>
      <c r="K1916" t="str">
        <f>"R$ 1.177,60"</f>
        <v>R$ 1.177,60</v>
      </c>
    </row>
    <row r="1917" spans="1:11" x14ac:dyDescent="0.25">
      <c r="A1917" t="str">
        <f>"00052760 / 1"</f>
        <v>00052760 / 1</v>
      </c>
      <c r="B1917" t="str">
        <f>"13° Salário Anual"</f>
        <v>13° Salário Anual</v>
      </c>
      <c r="C1917" t="str">
        <f>"Sandra Regina Franco de Amorim"</f>
        <v>Sandra Regina Franco de Amorim</v>
      </c>
      <c r="D1917" t="str">
        <f>"PROFESSOR NIVEL III"</f>
        <v>PROFESSOR NIVEL III</v>
      </c>
      <c r="E1917" t="str">
        <f>"Efetivo-Inativos II-RJUSM"</f>
        <v>Efetivo-Inativos II-RJUSM</v>
      </c>
      <c r="F1917" t="str">
        <f>"R$ 4.182,86"</f>
        <v>R$ 4.182,86</v>
      </c>
      <c r="G1917" t="str">
        <f>"R$ 5.019,43"</f>
        <v>R$ 5.019,43</v>
      </c>
      <c r="H1917" t="str">
        <f t="shared" si="199"/>
        <v>R$ 0,00</v>
      </c>
      <c r="I1917" t="str">
        <f>"R$ 5.019,43"</f>
        <v>R$ 5.019,43</v>
      </c>
      <c r="J1917" t="str">
        <f>"R$ 2.968,55"</f>
        <v>R$ 2.968,55</v>
      </c>
      <c r="K1917" t="str">
        <f>"R$ 2.050,88"</f>
        <v>R$ 2.050,88</v>
      </c>
    </row>
    <row r="1918" spans="1:11" x14ac:dyDescent="0.25">
      <c r="A1918" t="str">
        <f>"00052760 / 1"</f>
        <v>00052760 / 1</v>
      </c>
      <c r="B1918" t="str">
        <f>"Folha Mensal"</f>
        <v>Folha Mensal</v>
      </c>
      <c r="C1918" t="str">
        <f>"Sandra Regina Franco de Amorim"</f>
        <v>Sandra Regina Franco de Amorim</v>
      </c>
      <c r="D1918" t="str">
        <f>"PROFESSOR NIVEL III"</f>
        <v>PROFESSOR NIVEL III</v>
      </c>
      <c r="E1918" t="str">
        <f>"Efetivo-Inativos II-RJUSM"</f>
        <v>Efetivo-Inativos II-RJUSM</v>
      </c>
      <c r="F1918" t="str">
        <f>"R$ 4.182,86"</f>
        <v>R$ 4.182,86</v>
      </c>
      <c r="G1918" t="str">
        <f>"R$ 5.019,43"</f>
        <v>R$ 5.019,43</v>
      </c>
      <c r="H1918" t="str">
        <f t="shared" si="199"/>
        <v>R$ 0,00</v>
      </c>
      <c r="I1918" t="str">
        <f>"R$ 5.019,43"</f>
        <v>R$ 5.019,43</v>
      </c>
      <c r="J1918" t="str">
        <f>"R$ 458,84"</f>
        <v>R$ 458,84</v>
      </c>
      <c r="K1918" t="str">
        <f>"R$ 4.560,59"</f>
        <v>R$ 4.560,59</v>
      </c>
    </row>
    <row r="1919" spans="1:11" x14ac:dyDescent="0.25">
      <c r="A1919" t="str">
        <f>"00002089 / 1"</f>
        <v>00002089 / 1</v>
      </c>
      <c r="B1919" t="str">
        <f>"13° Salário Anual"</f>
        <v>13° Salário Anual</v>
      </c>
      <c r="C1919" t="str">
        <f>"Sara Ribeiro da Silva"</f>
        <v>Sara Ribeiro da Silva</v>
      </c>
      <c r="D1919" t="str">
        <f>"PROFESSOR"</f>
        <v>PROFESSOR</v>
      </c>
      <c r="E1919" t="str">
        <f>"Efetivo-Inativo I- RJUSM"</f>
        <v>Efetivo-Inativo I- RJUSM</v>
      </c>
      <c r="F1919" t="str">
        <f>"R$ 1.593,46"</f>
        <v>R$ 1.593,46</v>
      </c>
      <c r="G1919" t="str">
        <f>"R$ 1.991,82"</f>
        <v>R$ 1.991,82</v>
      </c>
      <c r="H1919" t="str">
        <f t="shared" si="199"/>
        <v>R$ 0,00</v>
      </c>
      <c r="I1919" t="str">
        <f>"R$ 1.991,82"</f>
        <v>R$ 1.991,82</v>
      </c>
      <c r="J1919" t="str">
        <f>"R$ 995,91"</f>
        <v>R$ 995,91</v>
      </c>
      <c r="K1919" t="str">
        <f>"R$ 995,91"</f>
        <v>R$ 995,91</v>
      </c>
    </row>
    <row r="1920" spans="1:11" x14ac:dyDescent="0.25">
      <c r="A1920" t="str">
        <f>"00002089 / 1"</f>
        <v>00002089 / 1</v>
      </c>
      <c r="B1920" t="str">
        <f>"Folha Mensal"</f>
        <v>Folha Mensal</v>
      </c>
      <c r="C1920" t="str">
        <f>"Sara Ribeiro da Silva"</f>
        <v>Sara Ribeiro da Silva</v>
      </c>
      <c r="D1920" t="str">
        <f>"PROFESSOR"</f>
        <v>PROFESSOR</v>
      </c>
      <c r="E1920" t="str">
        <f>"Efetivo-Inativo I- RJUSM"</f>
        <v>Efetivo-Inativo I- RJUSM</v>
      </c>
      <c r="F1920" t="str">
        <f>"R$ 1.593,46"</f>
        <v>R$ 1.593,46</v>
      </c>
      <c r="G1920" t="str">
        <f>"R$ 1.991,82"</f>
        <v>R$ 1.991,82</v>
      </c>
      <c r="H1920" t="str">
        <f t="shared" si="199"/>
        <v>R$ 0,00</v>
      </c>
      <c r="I1920" t="str">
        <f>"R$ 1.991,82"</f>
        <v>R$ 1.991,82</v>
      </c>
      <c r="J1920" t="str">
        <f>"R$ 386,91"</f>
        <v>R$ 386,91</v>
      </c>
      <c r="K1920" t="str">
        <f>"R$ 1.604,91"</f>
        <v>R$ 1.604,91</v>
      </c>
    </row>
    <row r="1921" spans="1:11" x14ac:dyDescent="0.25">
      <c r="A1921" t="str">
        <f>"00051853 / 1"</f>
        <v>00051853 / 1</v>
      </c>
      <c r="B1921" t="str">
        <f>"13° Salário Anual"</f>
        <v>13° Salário Anual</v>
      </c>
      <c r="C1921" t="str">
        <f>"Sebastiana Fernandes Pereira"</f>
        <v>Sebastiana Fernandes Pereira</v>
      </c>
      <c r="D1921" t="str">
        <f>"PROFESSOR NIVEL II"</f>
        <v>PROFESSOR NIVEL II</v>
      </c>
      <c r="E1921" t="str">
        <f>"Efetivo-Inativos II-RJUSM"</f>
        <v>Efetivo-Inativos II-RJUSM</v>
      </c>
      <c r="F1921" t="str">
        <f>"R$ 5.258,43"</f>
        <v>R$ 5.258,43</v>
      </c>
      <c r="G1921" t="str">
        <f>"R$ 6.310,11"</f>
        <v>R$ 6.310,11</v>
      </c>
      <c r="H1921" t="str">
        <f t="shared" si="199"/>
        <v>R$ 0,00</v>
      </c>
      <c r="I1921" t="str">
        <f>"R$ 6.310,11"</f>
        <v>R$ 6.310,11</v>
      </c>
      <c r="J1921" t="str">
        <f>"R$ 4.042,18"</f>
        <v>R$ 4.042,18</v>
      </c>
      <c r="K1921" t="str">
        <f>"R$ 2.267,93"</f>
        <v>R$ 2.267,93</v>
      </c>
    </row>
    <row r="1922" spans="1:11" x14ac:dyDescent="0.25">
      <c r="A1922" t="str">
        <f>"00051853 / 1"</f>
        <v>00051853 / 1</v>
      </c>
      <c r="B1922" t="str">
        <f>"Folha Mensal"</f>
        <v>Folha Mensal</v>
      </c>
      <c r="C1922" t="str">
        <f>"Sebastiana Fernandes Pereira"</f>
        <v>Sebastiana Fernandes Pereira</v>
      </c>
      <c r="D1922" t="str">
        <f>"PROFESSOR NIVEL II"</f>
        <v>PROFESSOR NIVEL II</v>
      </c>
      <c r="E1922" t="str">
        <f>"Efetivo-Inativos II-RJUSM"</f>
        <v>Efetivo-Inativos II-RJUSM</v>
      </c>
      <c r="F1922" t="str">
        <f>"R$ 5.258,43"</f>
        <v>R$ 5.258,43</v>
      </c>
      <c r="G1922" t="str">
        <f>"R$ 6.310,11"</f>
        <v>R$ 6.310,11</v>
      </c>
      <c r="H1922" t="str">
        <f t="shared" si="199"/>
        <v>R$ 0,00</v>
      </c>
      <c r="I1922" t="str">
        <f>"R$ 6.310,11"</f>
        <v>R$ 6.310,11</v>
      </c>
      <c r="J1922" t="str">
        <f>"R$ 2.657,76"</f>
        <v>R$ 2.657,76</v>
      </c>
      <c r="K1922" t="str">
        <f>"R$ 3.652,35"</f>
        <v>R$ 3.652,35</v>
      </c>
    </row>
    <row r="1923" spans="1:11" x14ac:dyDescent="0.25">
      <c r="A1923" t="str">
        <f>"00406058 / 1"</f>
        <v>00406058 / 1</v>
      </c>
      <c r="B1923" t="str">
        <f>"13° Salário Anual"</f>
        <v>13° Salário Anual</v>
      </c>
      <c r="C1923" t="str">
        <f>"Sebastiao Augusto da Silva Rodrigues"</f>
        <v>Sebastiao Augusto da Silva Rodrigues</v>
      </c>
      <c r="D1923" t="str">
        <f>"PENSIONISTA"</f>
        <v>PENSIONISTA</v>
      </c>
      <c r="E1923" t="str">
        <f>"Pensionista"</f>
        <v>Pensionista</v>
      </c>
      <c r="F1923" t="str">
        <f>"R$ 1.356,99"</f>
        <v>R$ 1.356,99</v>
      </c>
      <c r="G1923" t="str">
        <f>"R$ 1.356,99"</f>
        <v>R$ 1.356,99</v>
      </c>
      <c r="H1923" t="str">
        <f t="shared" si="199"/>
        <v>R$ 0,00</v>
      </c>
      <c r="I1923" t="str">
        <f>"R$ 1.356,99"</f>
        <v>R$ 1.356,99</v>
      </c>
      <c r="J1923" t="str">
        <f>"R$ 678,49"</f>
        <v>R$ 678,49</v>
      </c>
      <c r="K1923" t="str">
        <f>"R$ 678,50"</f>
        <v>R$ 678,50</v>
      </c>
    </row>
    <row r="1924" spans="1:11" x14ac:dyDescent="0.25">
      <c r="A1924" t="str">
        <f>"00406058 / 1"</f>
        <v>00406058 / 1</v>
      </c>
      <c r="B1924" t="str">
        <f>"Folha Mensal"</f>
        <v>Folha Mensal</v>
      </c>
      <c r="C1924" t="str">
        <f>"Sebastiao Augusto da Silva Rodrigues"</f>
        <v>Sebastiao Augusto da Silva Rodrigues</v>
      </c>
      <c r="D1924" t="str">
        <f>"PENSIONISTA"</f>
        <v>PENSIONISTA</v>
      </c>
      <c r="E1924" t="str">
        <f>"Pensionista"</f>
        <v>Pensionista</v>
      </c>
      <c r="F1924" t="str">
        <f>"R$ 1.356,99"</f>
        <v>R$ 1.356,99</v>
      </c>
      <c r="G1924" t="str">
        <f>"R$ 1.356,99"</f>
        <v>R$ 1.356,99</v>
      </c>
      <c r="H1924" t="str">
        <f t="shared" si="199"/>
        <v>R$ 0,00</v>
      </c>
      <c r="I1924" t="str">
        <f>"R$ 1.356,99"</f>
        <v>R$ 1.356,99</v>
      </c>
      <c r="J1924" t="str">
        <f>"R$ 0,00"</f>
        <v>R$ 0,00</v>
      </c>
      <c r="K1924" t="str">
        <f>"R$ 1.356,99"</f>
        <v>R$ 1.356,99</v>
      </c>
    </row>
    <row r="1925" spans="1:11" x14ac:dyDescent="0.25">
      <c r="A1925" t="str">
        <f>"03642992 / 1"</f>
        <v>03642992 / 1</v>
      </c>
      <c r="B1925" t="str">
        <f>"13° Salário Anual"</f>
        <v>13° Salário Anual</v>
      </c>
      <c r="C1925" t="str">
        <f>"Sebastiao de Sousa Borges do Vale"</f>
        <v>Sebastiao de Sousa Borges do Vale</v>
      </c>
      <c r="D1925" t="str">
        <f>"PENSIONISTA"</f>
        <v>PENSIONISTA</v>
      </c>
      <c r="E1925" t="str">
        <f>"Pensionista"</f>
        <v>Pensionista</v>
      </c>
      <c r="F1925" t="str">
        <f t="shared" ref="F1925:G1928" si="200">"R$ 1.100,00"</f>
        <v>R$ 1.100,00</v>
      </c>
      <c r="G1925" t="str">
        <f t="shared" si="200"/>
        <v>R$ 1.100,00</v>
      </c>
      <c r="H1925" t="str">
        <f t="shared" si="199"/>
        <v>R$ 0,00</v>
      </c>
      <c r="I1925" t="str">
        <f>"R$ 1.100,00"</f>
        <v>R$ 1.100,00</v>
      </c>
      <c r="J1925" t="str">
        <f>"R$ 550,00"</f>
        <v>R$ 550,00</v>
      </c>
      <c r="K1925" t="str">
        <f>"R$ 550,00"</f>
        <v>R$ 550,00</v>
      </c>
    </row>
    <row r="1926" spans="1:11" x14ac:dyDescent="0.25">
      <c r="A1926" t="str">
        <f>"03642992 / 1"</f>
        <v>03642992 / 1</v>
      </c>
      <c r="B1926" t="str">
        <f>"Folha Mensal"</f>
        <v>Folha Mensal</v>
      </c>
      <c r="C1926" t="str">
        <f>"Sebastiao de Sousa Borges do Vale"</f>
        <v>Sebastiao de Sousa Borges do Vale</v>
      </c>
      <c r="D1926" t="str">
        <f>"PENSIONISTA"</f>
        <v>PENSIONISTA</v>
      </c>
      <c r="E1926" t="str">
        <f>"Pensionista"</f>
        <v>Pensionista</v>
      </c>
      <c r="F1926" t="str">
        <f t="shared" si="200"/>
        <v>R$ 1.100,00</v>
      </c>
      <c r="G1926" t="str">
        <f t="shared" si="200"/>
        <v>R$ 1.100,00</v>
      </c>
      <c r="H1926" t="str">
        <f t="shared" si="199"/>
        <v>R$ 0,00</v>
      </c>
      <c r="I1926" t="str">
        <f>"R$ 1.100,00"</f>
        <v>R$ 1.100,00</v>
      </c>
      <c r="J1926" t="str">
        <f>"R$ 0,00"</f>
        <v>R$ 0,00</v>
      </c>
      <c r="K1926" t="str">
        <f>"R$ 1.100,00"</f>
        <v>R$ 1.100,00</v>
      </c>
    </row>
    <row r="1927" spans="1:11" x14ac:dyDescent="0.25">
      <c r="A1927" t="str">
        <f>"00008427 / 1"</f>
        <v>00008427 / 1</v>
      </c>
      <c r="B1927" t="str">
        <f>"13° Salário Anual"</f>
        <v>13° Salário Anual</v>
      </c>
      <c r="C1927" t="str">
        <f>"Sebastiao Portella de Souza"</f>
        <v>Sebastiao Portella de Souza</v>
      </c>
      <c r="D1927" t="str">
        <f>"PROP IDADE"</f>
        <v>PROP IDADE</v>
      </c>
      <c r="E1927" t="str">
        <f>"Efetivo-Inativo I- RJUSM"</f>
        <v>Efetivo-Inativo I- RJUSM</v>
      </c>
      <c r="F1927" t="str">
        <f t="shared" si="200"/>
        <v>R$ 1.100,00</v>
      </c>
      <c r="G1927" t="str">
        <f t="shared" si="200"/>
        <v>R$ 1.100,00</v>
      </c>
      <c r="H1927" t="str">
        <f t="shared" si="199"/>
        <v>R$ 0,00</v>
      </c>
      <c r="I1927" t="str">
        <f>"R$ 1.100,00"</f>
        <v>R$ 1.100,00</v>
      </c>
      <c r="J1927" t="str">
        <f>"R$ 550,00"</f>
        <v>R$ 550,00</v>
      </c>
      <c r="K1927" t="str">
        <f>"R$ 550,00"</f>
        <v>R$ 550,00</v>
      </c>
    </row>
    <row r="1928" spans="1:11" x14ac:dyDescent="0.25">
      <c r="A1928" t="str">
        <f>"00008427 / 1"</f>
        <v>00008427 / 1</v>
      </c>
      <c r="B1928" t="str">
        <f>"Folha Mensal"</f>
        <v>Folha Mensal</v>
      </c>
      <c r="C1928" t="str">
        <f>"Sebastiao Portella de Souza"</f>
        <v>Sebastiao Portella de Souza</v>
      </c>
      <c r="D1928" t="str">
        <f>"PROP IDADE"</f>
        <v>PROP IDADE</v>
      </c>
      <c r="E1928" t="str">
        <f>"Efetivo-Inativo I- RJUSM"</f>
        <v>Efetivo-Inativo I- RJUSM</v>
      </c>
      <c r="F1928" t="str">
        <f t="shared" si="200"/>
        <v>R$ 1.100,00</v>
      </c>
      <c r="G1928" t="str">
        <f t="shared" si="200"/>
        <v>R$ 1.100,00</v>
      </c>
      <c r="H1928" t="str">
        <f t="shared" si="199"/>
        <v>R$ 0,00</v>
      </c>
      <c r="I1928" t="str">
        <f>"R$ 1.100,00"</f>
        <v>R$ 1.100,00</v>
      </c>
      <c r="J1928" t="str">
        <f>"R$ 0,00"</f>
        <v>R$ 0,00</v>
      </c>
      <c r="K1928" t="str">
        <f>"R$ 1.100,00"</f>
        <v>R$ 1.100,00</v>
      </c>
    </row>
    <row r="1929" spans="1:11" x14ac:dyDescent="0.25">
      <c r="A1929" t="str">
        <f>"00035408 / 1"</f>
        <v>00035408 / 1</v>
      </c>
      <c r="B1929" t="str">
        <f>"13° Salário Anual"</f>
        <v>13° Salário Anual</v>
      </c>
      <c r="C1929" t="str">
        <f>"Sebastiao Vicente Alves"</f>
        <v>Sebastiao Vicente Alves</v>
      </c>
      <c r="D1929" t="str">
        <f>"PROFESSOR"</f>
        <v>PROFESSOR</v>
      </c>
      <c r="E1929" t="str">
        <f>"Efetivo-Inativo I- RJUSM"</f>
        <v>Efetivo-Inativo I- RJUSM</v>
      </c>
      <c r="F1929" t="str">
        <f>"R$ 1.593,46"</f>
        <v>R$ 1.593,46</v>
      </c>
      <c r="G1929" t="str">
        <f>"R$ 2.071,49"</f>
        <v>R$ 2.071,49</v>
      </c>
      <c r="H1929" t="str">
        <f t="shared" si="199"/>
        <v>R$ 0,00</v>
      </c>
      <c r="I1929" t="str">
        <f>"R$ 2.071,49"</f>
        <v>R$ 2.071,49</v>
      </c>
      <c r="J1929" t="str">
        <f>"R$ 1.035,74"</f>
        <v>R$ 1.035,74</v>
      </c>
      <c r="K1929" t="str">
        <f>"R$ 1.035,75"</f>
        <v>R$ 1.035,75</v>
      </c>
    </row>
    <row r="1930" spans="1:11" x14ac:dyDescent="0.25">
      <c r="A1930" t="str">
        <f>"00035408 / 1"</f>
        <v>00035408 / 1</v>
      </c>
      <c r="B1930" t="str">
        <f>"Folha Mensal"</f>
        <v>Folha Mensal</v>
      </c>
      <c r="C1930" t="str">
        <f>"Sebastiao Vicente Alves"</f>
        <v>Sebastiao Vicente Alves</v>
      </c>
      <c r="D1930" t="str">
        <f>"PROFESSOR"</f>
        <v>PROFESSOR</v>
      </c>
      <c r="E1930" t="str">
        <f>"Efetivo-Inativo I- RJUSM"</f>
        <v>Efetivo-Inativo I- RJUSM</v>
      </c>
      <c r="F1930" t="str">
        <f>"R$ 1.593,46"</f>
        <v>R$ 1.593,46</v>
      </c>
      <c r="G1930" t="str">
        <f>"R$ 2.071,49"</f>
        <v>R$ 2.071,49</v>
      </c>
      <c r="H1930" t="str">
        <f t="shared" si="199"/>
        <v>R$ 0,00</v>
      </c>
      <c r="I1930" t="str">
        <f>"R$ 2.071,49"</f>
        <v>R$ 2.071,49</v>
      </c>
      <c r="J1930" t="str">
        <f>"R$ 0,00"</f>
        <v>R$ 0,00</v>
      </c>
      <c r="K1930" t="str">
        <f>"R$ 2.071,49"</f>
        <v>R$ 2.071,49</v>
      </c>
    </row>
    <row r="1931" spans="1:11" x14ac:dyDescent="0.25">
      <c r="A1931" t="str">
        <f>"03643000 / 1"</f>
        <v>03643000 / 1</v>
      </c>
      <c r="B1931" t="str">
        <f>"13° Salário Anual"</f>
        <v>13° Salário Anual</v>
      </c>
      <c r="C1931" t="str">
        <f>"Selma Borges de Souza"</f>
        <v>Selma Borges de Souza</v>
      </c>
      <c r="D1931" t="str">
        <f>"PENSIONISTA"</f>
        <v>PENSIONISTA</v>
      </c>
      <c r="E1931" t="str">
        <f>"Pensionista"</f>
        <v>Pensionista</v>
      </c>
      <c r="F1931" t="str">
        <f>"R$ 1.100,00"</f>
        <v>R$ 1.100,00</v>
      </c>
      <c r="G1931" t="str">
        <f>"R$ 1.320,00"</f>
        <v>R$ 1.320,00</v>
      </c>
      <c r="H1931" t="str">
        <f t="shared" si="199"/>
        <v>R$ 0,00</v>
      </c>
      <c r="I1931" t="str">
        <f>"R$ 1.320,00"</f>
        <v>R$ 1.320,00</v>
      </c>
      <c r="J1931" t="str">
        <f>"R$ 660,00"</f>
        <v>R$ 660,00</v>
      </c>
      <c r="K1931" t="str">
        <f>"R$ 660,00"</f>
        <v>R$ 660,00</v>
      </c>
    </row>
    <row r="1932" spans="1:11" x14ac:dyDescent="0.25">
      <c r="A1932" t="str">
        <f>"03643000 / 1"</f>
        <v>03643000 / 1</v>
      </c>
      <c r="B1932" t="str">
        <f>"Folha Mensal"</f>
        <v>Folha Mensal</v>
      </c>
      <c r="C1932" t="str">
        <f>"Selma Borges de Souza"</f>
        <v>Selma Borges de Souza</v>
      </c>
      <c r="D1932" t="str">
        <f>"PENSIONISTA"</f>
        <v>PENSIONISTA</v>
      </c>
      <c r="E1932" t="str">
        <f>"Pensionista"</f>
        <v>Pensionista</v>
      </c>
      <c r="F1932" t="str">
        <f>"R$ 1.100,00"</f>
        <v>R$ 1.100,00</v>
      </c>
      <c r="G1932" t="str">
        <f>"R$ 1.320,00"</f>
        <v>R$ 1.320,00</v>
      </c>
      <c r="H1932" t="str">
        <f t="shared" si="199"/>
        <v>R$ 0,00</v>
      </c>
      <c r="I1932" t="str">
        <f>"R$ 1.320,00"</f>
        <v>R$ 1.320,00</v>
      </c>
      <c r="J1932" t="str">
        <f>"R$ 0,00"</f>
        <v>R$ 0,00</v>
      </c>
      <c r="K1932" t="str">
        <f>"R$ 1.320,00"</f>
        <v>R$ 1.320,00</v>
      </c>
    </row>
    <row r="1933" spans="1:11" x14ac:dyDescent="0.25">
      <c r="A1933" t="str">
        <f>"00025674 / 1"</f>
        <v>00025674 / 1</v>
      </c>
      <c r="B1933" t="str">
        <f>"13° Salário Anual"</f>
        <v>13° Salário Anual</v>
      </c>
      <c r="C1933" t="str">
        <f>"Selma do Socorro Lima Mattos"</f>
        <v>Selma do Socorro Lima Mattos</v>
      </c>
      <c r="D1933" t="str">
        <f>"PROFESSOR NIVEL II"</f>
        <v>PROFESSOR NIVEL II</v>
      </c>
      <c r="E1933" t="str">
        <f>"Efetivo-Inativos II-RJUSM"</f>
        <v>Efetivo-Inativos II-RJUSM</v>
      </c>
      <c r="F1933" t="str">
        <f>"R$ 5.577,14"</f>
        <v>R$ 5.577,14</v>
      </c>
      <c r="G1933" t="str">
        <f>"R$ 6.971,42"</f>
        <v>R$ 6.971,42</v>
      </c>
      <c r="H1933" t="str">
        <f t="shared" si="199"/>
        <v>R$ 0,00</v>
      </c>
      <c r="I1933" t="str">
        <f>"R$ 6.971,42"</f>
        <v>R$ 6.971,42</v>
      </c>
      <c r="J1933" t="str">
        <f>"R$ 4.621,83"</f>
        <v>R$ 4.621,83</v>
      </c>
      <c r="K1933" t="str">
        <f>"R$ 2.349,59"</f>
        <v>R$ 2.349,59</v>
      </c>
    </row>
    <row r="1934" spans="1:11" x14ac:dyDescent="0.25">
      <c r="A1934" t="str">
        <f>"00025674 / 1"</f>
        <v>00025674 / 1</v>
      </c>
      <c r="B1934" t="str">
        <f>"Folha Mensal"</f>
        <v>Folha Mensal</v>
      </c>
      <c r="C1934" t="str">
        <f>"Selma do Socorro Lima Mattos"</f>
        <v>Selma do Socorro Lima Mattos</v>
      </c>
      <c r="D1934" t="str">
        <f>"PROFESSOR NIVEL II"</f>
        <v>PROFESSOR NIVEL II</v>
      </c>
      <c r="E1934" t="str">
        <f>"Efetivo-Inativos II-RJUSM"</f>
        <v>Efetivo-Inativos II-RJUSM</v>
      </c>
      <c r="F1934" t="str">
        <f>"R$ 5.577,14"</f>
        <v>R$ 5.577,14</v>
      </c>
      <c r="G1934" t="str">
        <f>"R$ 6.971,42"</f>
        <v>R$ 6.971,42</v>
      </c>
      <c r="H1934" t="str">
        <f t="shared" si="199"/>
        <v>R$ 0,00</v>
      </c>
      <c r="I1934" t="str">
        <f>"R$ 6.971,42"</f>
        <v>R$ 6.971,42</v>
      </c>
      <c r="J1934" t="str">
        <f>"R$ 2.583,82"</f>
        <v>R$ 2.583,82</v>
      </c>
      <c r="K1934" t="str">
        <f>"R$ 4.387,60"</f>
        <v>R$ 4.387,60</v>
      </c>
    </row>
    <row r="1935" spans="1:11" x14ac:dyDescent="0.25">
      <c r="A1935" t="str">
        <f>"00032735 / 1"</f>
        <v>00032735 / 1</v>
      </c>
      <c r="B1935" t="str">
        <f>"13° Salário Anual"</f>
        <v>13° Salário Anual</v>
      </c>
      <c r="C1935" t="str">
        <f>"Selma Maria Monteiro da Silva"</f>
        <v>Selma Maria Monteiro da Silva</v>
      </c>
      <c r="D1935" t="str">
        <f>"PROFESSOR"</f>
        <v>PROFESSOR</v>
      </c>
      <c r="E1935" t="str">
        <f t="shared" ref="E1935:E1940" si="201">"Efetivo-Inativo I- RJUSM"</f>
        <v>Efetivo-Inativo I- RJUSM</v>
      </c>
      <c r="F1935" t="str">
        <f>"R$ 2.071,51"</f>
        <v>R$ 2.071,51</v>
      </c>
      <c r="G1935" t="str">
        <f>"R$ 2.589,38"</f>
        <v>R$ 2.589,38</v>
      </c>
      <c r="H1935" t="str">
        <f t="shared" si="199"/>
        <v>R$ 0,00</v>
      </c>
      <c r="I1935" t="str">
        <f>"R$ 2.589,38"</f>
        <v>R$ 2.589,38</v>
      </c>
      <c r="J1935" t="str">
        <f>"R$ 1.331,87"</f>
        <v>R$ 1.331,87</v>
      </c>
      <c r="K1935" t="str">
        <f>"R$ 1.257,51"</f>
        <v>R$ 1.257,51</v>
      </c>
    </row>
    <row r="1936" spans="1:11" x14ac:dyDescent="0.25">
      <c r="A1936" t="str">
        <f>"00032735 / 1"</f>
        <v>00032735 / 1</v>
      </c>
      <c r="B1936" t="str">
        <f>"Folha Mensal"</f>
        <v>Folha Mensal</v>
      </c>
      <c r="C1936" t="str">
        <f>"Selma Maria Monteiro da Silva"</f>
        <v>Selma Maria Monteiro da Silva</v>
      </c>
      <c r="D1936" t="str">
        <f>"PROFESSOR"</f>
        <v>PROFESSOR</v>
      </c>
      <c r="E1936" t="str">
        <f t="shared" si="201"/>
        <v>Efetivo-Inativo I- RJUSM</v>
      </c>
      <c r="F1936" t="str">
        <f>"R$ 2.071,51"</f>
        <v>R$ 2.071,51</v>
      </c>
      <c r="G1936" t="str">
        <f>"R$ 2.589,38"</f>
        <v>R$ 2.589,38</v>
      </c>
      <c r="H1936" t="str">
        <f t="shared" si="199"/>
        <v>R$ 0,00</v>
      </c>
      <c r="I1936" t="str">
        <f>"R$ 2.589,38"</f>
        <v>R$ 2.589,38</v>
      </c>
      <c r="J1936" t="str">
        <f>"R$ 671,90"</f>
        <v>R$ 671,90</v>
      </c>
      <c r="K1936" t="str">
        <f>"R$ 1.917,48"</f>
        <v>R$ 1.917,48</v>
      </c>
    </row>
    <row r="1937" spans="1:11" x14ac:dyDescent="0.25">
      <c r="A1937" t="str">
        <f>"00001937 / 1"</f>
        <v>00001937 / 1</v>
      </c>
      <c r="B1937" t="str">
        <f>"13° Salário Anual"</f>
        <v>13° Salário Anual</v>
      </c>
      <c r="C1937" t="str">
        <f>"Selma Teixeira Auad"</f>
        <v>Selma Teixeira Auad</v>
      </c>
      <c r="D1937" t="str">
        <f>"PROP IDADE"</f>
        <v>PROP IDADE</v>
      </c>
      <c r="E1937" t="str">
        <f t="shared" si="201"/>
        <v>Efetivo-Inativo I- RJUSM</v>
      </c>
      <c r="F1937" t="str">
        <f>"R$ 1.100,00"</f>
        <v>R$ 1.100,00</v>
      </c>
      <c r="G1937" t="str">
        <f>"R$ 1.100,00"</f>
        <v>R$ 1.100,00</v>
      </c>
      <c r="H1937" t="str">
        <f t="shared" si="199"/>
        <v>R$ 0,00</v>
      </c>
      <c r="I1937" t="str">
        <f>"R$ 1.100,00"</f>
        <v>R$ 1.100,00</v>
      </c>
      <c r="J1937" t="str">
        <f>"R$ 550,00"</f>
        <v>R$ 550,00</v>
      </c>
      <c r="K1937" t="str">
        <f>"R$ 550,00"</f>
        <v>R$ 550,00</v>
      </c>
    </row>
    <row r="1938" spans="1:11" x14ac:dyDescent="0.25">
      <c r="A1938" t="str">
        <f>"00001937 / 1"</f>
        <v>00001937 / 1</v>
      </c>
      <c r="B1938" t="str">
        <f>"Folha Mensal"</f>
        <v>Folha Mensal</v>
      </c>
      <c r="C1938" t="str">
        <f>"Selma Teixeira Auad"</f>
        <v>Selma Teixeira Auad</v>
      </c>
      <c r="D1938" t="str">
        <f>"PROP IDADE"</f>
        <v>PROP IDADE</v>
      </c>
      <c r="E1938" t="str">
        <f t="shared" si="201"/>
        <v>Efetivo-Inativo I- RJUSM</v>
      </c>
      <c r="F1938" t="str">
        <f>"R$ 1.100,00"</f>
        <v>R$ 1.100,00</v>
      </c>
      <c r="G1938" t="str">
        <f>"R$ 1.100,00"</f>
        <v>R$ 1.100,00</v>
      </c>
      <c r="H1938" t="str">
        <f t="shared" si="199"/>
        <v>R$ 0,00</v>
      </c>
      <c r="I1938" t="str">
        <f>"R$ 1.100,00"</f>
        <v>R$ 1.100,00</v>
      </c>
      <c r="J1938" t="str">
        <f>"R$ 280,15"</f>
        <v>R$ 280,15</v>
      </c>
      <c r="K1938" t="str">
        <f>"R$ 819,85"</f>
        <v>R$ 819,85</v>
      </c>
    </row>
    <row r="1939" spans="1:11" x14ac:dyDescent="0.25">
      <c r="A1939" t="str">
        <f>"00020184 / 2"</f>
        <v>00020184 / 2</v>
      </c>
      <c r="B1939" t="str">
        <f>"13° Salário Anual"</f>
        <v>13° Salário Anual</v>
      </c>
      <c r="C1939" t="str">
        <f>"Sergio Siqueira Amorim"</f>
        <v>Sergio Siqueira Amorim</v>
      </c>
      <c r="D1939" t="str">
        <f>"INT TEMP CONTRIBUICAO"</f>
        <v>INT TEMP CONTRIBUICAO</v>
      </c>
      <c r="E1939" t="str">
        <f t="shared" si="201"/>
        <v>Efetivo-Inativo I- RJUSM</v>
      </c>
      <c r="F1939" t="str">
        <f>"R$ 1.100,00"</f>
        <v>R$ 1.100,00</v>
      </c>
      <c r="G1939" t="str">
        <f>"R$ 1.430,00"</f>
        <v>R$ 1.430,00</v>
      </c>
      <c r="H1939" t="str">
        <f t="shared" si="199"/>
        <v>R$ 0,00</v>
      </c>
      <c r="I1939" t="str">
        <f>"R$ 1.430,00"</f>
        <v>R$ 1.430,00</v>
      </c>
      <c r="J1939" t="str">
        <f>"R$ 715,00"</f>
        <v>R$ 715,00</v>
      </c>
      <c r="K1939" t="str">
        <f>"R$ 715,00"</f>
        <v>R$ 715,00</v>
      </c>
    </row>
    <row r="1940" spans="1:11" x14ac:dyDescent="0.25">
      <c r="A1940" t="str">
        <f>"00020184 / 2"</f>
        <v>00020184 / 2</v>
      </c>
      <c r="B1940" t="str">
        <f>"Folha Mensal"</f>
        <v>Folha Mensal</v>
      </c>
      <c r="C1940" t="str">
        <f>"Sergio Siqueira Amorim"</f>
        <v>Sergio Siqueira Amorim</v>
      </c>
      <c r="D1940" t="str">
        <f>"INT TEMP CONTRIBUICAO"</f>
        <v>INT TEMP CONTRIBUICAO</v>
      </c>
      <c r="E1940" t="str">
        <f t="shared" si="201"/>
        <v>Efetivo-Inativo I- RJUSM</v>
      </c>
      <c r="F1940" t="str">
        <f>"R$ 1.100,00"</f>
        <v>R$ 1.100,00</v>
      </c>
      <c r="G1940" t="str">
        <f>"R$ 1.430,00"</f>
        <v>R$ 1.430,00</v>
      </c>
      <c r="H1940" t="str">
        <f t="shared" si="199"/>
        <v>R$ 0,00</v>
      </c>
      <c r="I1940" t="str">
        <f>"R$ 1.430,00"</f>
        <v>R$ 1.430,00</v>
      </c>
      <c r="J1940" t="str">
        <f>"R$ 342,13"</f>
        <v>R$ 342,13</v>
      </c>
      <c r="K1940" t="str">
        <f>"R$ 1.087,87"</f>
        <v>R$ 1.087,87</v>
      </c>
    </row>
    <row r="1941" spans="1:11" x14ac:dyDescent="0.25">
      <c r="A1941" t="str">
        <f>"00020184 / 1"</f>
        <v>00020184 / 1</v>
      </c>
      <c r="B1941" t="str">
        <f>"13° Salário Anual"</f>
        <v>13° Salário Anual</v>
      </c>
      <c r="C1941" t="str">
        <f>"Sergio Siqueira Amorim"</f>
        <v>Sergio Siqueira Amorim</v>
      </c>
      <c r="D1941" t="str">
        <f>"PENSIONISTA"</f>
        <v>PENSIONISTA</v>
      </c>
      <c r="E1941" t="str">
        <f>"Pensionista"</f>
        <v>Pensionista</v>
      </c>
      <c r="F1941" t="str">
        <f>"R$ 1.092,02"</f>
        <v>R$ 1.092,02</v>
      </c>
      <c r="G1941" t="str">
        <f>"R$ 1.092,02"</f>
        <v>R$ 1.092,02</v>
      </c>
      <c r="H1941" t="str">
        <f t="shared" ref="H1941:H1951" si="202">"R$ 0,00"</f>
        <v>R$ 0,00</v>
      </c>
      <c r="I1941" t="str">
        <f>"R$ 1.092,02"</f>
        <v>R$ 1.092,02</v>
      </c>
      <c r="J1941" t="str">
        <f>"R$ 546,01"</f>
        <v>R$ 546,01</v>
      </c>
      <c r="K1941" t="str">
        <f>"R$ 546,01"</f>
        <v>R$ 546,01</v>
      </c>
    </row>
    <row r="1942" spans="1:11" x14ac:dyDescent="0.25">
      <c r="A1942" t="str">
        <f>"00020184 / 1"</f>
        <v>00020184 / 1</v>
      </c>
      <c r="B1942" t="str">
        <f>"Folha Mensal"</f>
        <v>Folha Mensal</v>
      </c>
      <c r="C1942" t="str">
        <f>"Sergio Siqueira Amorim"</f>
        <v>Sergio Siqueira Amorim</v>
      </c>
      <c r="D1942" t="str">
        <f>"PENSIONISTA"</f>
        <v>PENSIONISTA</v>
      </c>
      <c r="E1942" t="str">
        <f>"Pensionista"</f>
        <v>Pensionista</v>
      </c>
      <c r="F1942" t="str">
        <f>"R$ 1.092,02"</f>
        <v>R$ 1.092,02</v>
      </c>
      <c r="G1942" t="str">
        <f>"R$ 1.092,02"</f>
        <v>R$ 1.092,02</v>
      </c>
      <c r="H1942" t="str">
        <f t="shared" si="202"/>
        <v>R$ 0,00</v>
      </c>
      <c r="I1942" t="str">
        <f>"R$ 1.092,02"</f>
        <v>R$ 1.092,02</v>
      </c>
      <c r="J1942" t="str">
        <f>"R$ 26,73"</f>
        <v>R$ 26,73</v>
      </c>
      <c r="K1942" t="str">
        <f>"R$ 1.065,29"</f>
        <v>R$ 1.065,29</v>
      </c>
    </row>
    <row r="1943" spans="1:11" x14ac:dyDescent="0.25">
      <c r="A1943" t="str">
        <f>"00000590 / 1"</f>
        <v>00000590 / 1</v>
      </c>
      <c r="B1943" t="str">
        <f>"13° Salário Anual"</f>
        <v>13° Salário Anual</v>
      </c>
      <c r="C1943" t="str">
        <f>"Severino Rodrigues de Leao Neto"</f>
        <v>Severino Rodrigues de Leao Neto</v>
      </c>
      <c r="D1943" t="str">
        <f>"INT TEMP SERVICO"</f>
        <v>INT TEMP SERVICO</v>
      </c>
      <c r="E1943" t="str">
        <f>"Efetivo-Inativo I- RJUSM"</f>
        <v>Efetivo-Inativo I- RJUSM</v>
      </c>
      <c r="F1943" t="str">
        <f>"R$ 2.000,62"</f>
        <v>R$ 2.000,62</v>
      </c>
      <c r="G1943" t="str">
        <f>"R$ 2.400,74"</f>
        <v>R$ 2.400,74</v>
      </c>
      <c r="H1943" t="str">
        <f t="shared" si="202"/>
        <v>R$ 0,00</v>
      </c>
      <c r="I1943" t="str">
        <f>"R$ 2.400,74"</f>
        <v>R$ 2.400,74</v>
      </c>
      <c r="J1943" t="str">
        <f>"R$ 1.200,37"</f>
        <v>R$ 1.200,37</v>
      </c>
      <c r="K1943" t="str">
        <f>"R$ 1.200,37"</f>
        <v>R$ 1.200,37</v>
      </c>
    </row>
    <row r="1944" spans="1:11" x14ac:dyDescent="0.25">
      <c r="A1944" t="str">
        <f>"00000590 / 1"</f>
        <v>00000590 / 1</v>
      </c>
      <c r="B1944" t="str">
        <f>"Folha Mensal"</f>
        <v>Folha Mensal</v>
      </c>
      <c r="C1944" t="str">
        <f>"Severino Rodrigues de Leao Neto"</f>
        <v>Severino Rodrigues de Leao Neto</v>
      </c>
      <c r="D1944" t="str">
        <f>"INT TEMP SERVICO"</f>
        <v>INT TEMP SERVICO</v>
      </c>
      <c r="E1944" t="str">
        <f>"Efetivo-Inativo I- RJUSM"</f>
        <v>Efetivo-Inativo I- RJUSM</v>
      </c>
      <c r="F1944" t="str">
        <f>"R$ 2.000,62"</f>
        <v>R$ 2.000,62</v>
      </c>
      <c r="G1944" t="str">
        <f>"R$ 2.400,74"</f>
        <v>R$ 2.400,74</v>
      </c>
      <c r="H1944" t="str">
        <f t="shared" si="202"/>
        <v>R$ 0,00</v>
      </c>
      <c r="I1944" t="str">
        <f>"R$ 2.400,74"</f>
        <v>R$ 2.400,74</v>
      </c>
      <c r="J1944" t="str">
        <f>"R$ 0,00"</f>
        <v>R$ 0,00</v>
      </c>
      <c r="K1944" t="str">
        <f>"R$ 2.400,74"</f>
        <v>R$ 2.400,74</v>
      </c>
    </row>
    <row r="1945" spans="1:11" x14ac:dyDescent="0.25">
      <c r="A1945" t="str">
        <f>"03640884 / 1"</f>
        <v>03640884 / 1</v>
      </c>
      <c r="B1945" t="str">
        <f>"13° Salário Anual"</f>
        <v>13° Salário Anual</v>
      </c>
      <c r="C1945" t="str">
        <f>"Silvia Maria Cunha Rodrigues"</f>
        <v>Silvia Maria Cunha Rodrigues</v>
      </c>
      <c r="D1945" t="str">
        <f>"PROFESSOR NIVEL II"</f>
        <v>PROFESSOR NIVEL II</v>
      </c>
      <c r="E1945" t="str">
        <f>"Efetivo-Inativos II-RJUSM"</f>
        <v>Efetivo-Inativos II-RJUSM</v>
      </c>
      <c r="F1945" t="str">
        <f>"R$ 3.314,42"</f>
        <v>R$ 3.314,42</v>
      </c>
      <c r="G1945" t="str">
        <f>"R$ 3.590,61"</f>
        <v>R$ 3.590,61</v>
      </c>
      <c r="H1945" t="str">
        <f t="shared" si="202"/>
        <v>R$ 0,00</v>
      </c>
      <c r="I1945" t="str">
        <f>"R$ 3.590,61"</f>
        <v>R$ 3.590,61</v>
      </c>
      <c r="J1945" t="str">
        <f>"R$ 1.979,09"</f>
        <v>R$ 1.979,09</v>
      </c>
      <c r="K1945" t="str">
        <f>"R$ 1.611,52"</f>
        <v>R$ 1.611,52</v>
      </c>
    </row>
    <row r="1946" spans="1:11" x14ac:dyDescent="0.25">
      <c r="A1946" t="str">
        <f>"03640884 / 1"</f>
        <v>03640884 / 1</v>
      </c>
      <c r="B1946" t="str">
        <f>"Folha Mensal"</f>
        <v>Folha Mensal</v>
      </c>
      <c r="C1946" t="str">
        <f>"Silvia Maria Cunha Rodrigues"</f>
        <v>Silvia Maria Cunha Rodrigues</v>
      </c>
      <c r="D1946" t="str">
        <f>"PROFESSOR NIVEL II"</f>
        <v>PROFESSOR NIVEL II</v>
      </c>
      <c r="E1946" t="str">
        <f>"Efetivo-Inativos II-RJUSM"</f>
        <v>Efetivo-Inativos II-RJUSM</v>
      </c>
      <c r="F1946" t="str">
        <f>"R$ 3.314,42"</f>
        <v>R$ 3.314,42</v>
      </c>
      <c r="G1946" t="str">
        <f>"R$ 4.308,74"</f>
        <v>R$ 4.308,74</v>
      </c>
      <c r="H1946" t="str">
        <f t="shared" si="202"/>
        <v>R$ 0,00</v>
      </c>
      <c r="I1946" t="str">
        <f>"R$ 4.308,74"</f>
        <v>R$ 4.308,74</v>
      </c>
      <c r="J1946" t="str">
        <f>"R$ 333,33"</f>
        <v>R$ 333,33</v>
      </c>
      <c r="K1946" t="str">
        <f>"R$ 3.975,41"</f>
        <v>R$ 3.975,41</v>
      </c>
    </row>
    <row r="1947" spans="1:11" x14ac:dyDescent="0.25">
      <c r="A1947" t="str">
        <f>"00051861 / 1"</f>
        <v>00051861 / 1</v>
      </c>
      <c r="B1947" t="str">
        <f>"13° Salário Anual"</f>
        <v>13° Salário Anual</v>
      </c>
      <c r="C1947" t="str">
        <f>"Silvia Maria Penha de Oliveira"</f>
        <v>Silvia Maria Penha de Oliveira</v>
      </c>
      <c r="D1947" t="str">
        <f>"PROFESSOR NIVEL II"</f>
        <v>PROFESSOR NIVEL II</v>
      </c>
      <c r="E1947" t="str">
        <f>"Efetivo-Inativos II-RJUSM"</f>
        <v>Efetivo-Inativos II-RJUSM</v>
      </c>
      <c r="F1947" t="str">
        <f>"R$ 2.629,20"</f>
        <v>R$ 2.629,20</v>
      </c>
      <c r="G1947" t="str">
        <f>"R$ 3.155,04"</f>
        <v>R$ 3.155,04</v>
      </c>
      <c r="H1947" t="str">
        <f t="shared" si="202"/>
        <v>R$ 0,00</v>
      </c>
      <c r="I1947" t="str">
        <f>"R$ 3.155,04"</f>
        <v>R$ 3.155,04</v>
      </c>
      <c r="J1947" t="str">
        <f>"R$ 1.577,52"</f>
        <v>R$ 1.577,52</v>
      </c>
      <c r="K1947" t="str">
        <f>"R$ 1.577,52"</f>
        <v>R$ 1.577,52</v>
      </c>
    </row>
    <row r="1948" spans="1:11" x14ac:dyDescent="0.25">
      <c r="A1948" t="str">
        <f>"00051861 / 1"</f>
        <v>00051861 / 1</v>
      </c>
      <c r="B1948" t="str">
        <f>"Folha Mensal"</f>
        <v>Folha Mensal</v>
      </c>
      <c r="C1948" t="str">
        <f>"Silvia Maria Penha de Oliveira"</f>
        <v>Silvia Maria Penha de Oliveira</v>
      </c>
      <c r="D1948" t="str">
        <f>"PROFESSOR NIVEL II"</f>
        <v>PROFESSOR NIVEL II</v>
      </c>
      <c r="E1948" t="str">
        <f>"Efetivo-Inativos II-RJUSM"</f>
        <v>Efetivo-Inativos II-RJUSM</v>
      </c>
      <c r="F1948" t="str">
        <f>"R$ 2.629,20"</f>
        <v>R$ 2.629,20</v>
      </c>
      <c r="G1948" t="str">
        <f>"R$ 3.155,04"</f>
        <v>R$ 3.155,04</v>
      </c>
      <c r="H1948" t="str">
        <f t="shared" si="202"/>
        <v>R$ 0,00</v>
      </c>
      <c r="I1948" t="str">
        <f>"R$ 3.155,04"</f>
        <v>R$ 3.155,04</v>
      </c>
      <c r="J1948" t="str">
        <f>"R$ 1.104,03"</f>
        <v>R$ 1.104,03</v>
      </c>
      <c r="K1948" t="str">
        <f>"R$ 2.051,01"</f>
        <v>R$ 2.051,01</v>
      </c>
    </row>
    <row r="1949" spans="1:11" x14ac:dyDescent="0.25">
      <c r="A1949" t="str">
        <f>"03640850 / 1"</f>
        <v>03640850 / 1</v>
      </c>
      <c r="B1949" t="str">
        <f>"13° Salário Anual"</f>
        <v>13° Salário Anual</v>
      </c>
      <c r="C1949" t="str">
        <f>"Silvia Nara Trindade Felix"</f>
        <v>Silvia Nara Trindade Felix</v>
      </c>
      <c r="D1949" t="str">
        <f>"DAS 06"</f>
        <v>DAS 06</v>
      </c>
      <c r="E1949" t="str">
        <f>"Comissionado"</f>
        <v>Comissionado</v>
      </c>
      <c r="F1949" t="str">
        <f>"R$ 2.427,00"</f>
        <v>R$ 2.427,00</v>
      </c>
      <c r="G1949" t="str">
        <f>"R$ 2.224,75"</f>
        <v>R$ 2.224,75</v>
      </c>
      <c r="H1949" t="str">
        <f t="shared" si="202"/>
        <v>R$ 0,00</v>
      </c>
      <c r="I1949" t="str">
        <f>"R$ 2.224,75"</f>
        <v>R$ 2.224,75</v>
      </c>
      <c r="J1949" t="str">
        <f>"R$ 1.306,95"</f>
        <v>R$ 1.306,95</v>
      </c>
      <c r="K1949" t="str">
        <f>"R$ 917,80"</f>
        <v>R$ 917,80</v>
      </c>
    </row>
    <row r="1950" spans="1:11" x14ac:dyDescent="0.25">
      <c r="A1950" t="str">
        <f>"03640850 / 1"</f>
        <v>03640850 / 1</v>
      </c>
      <c r="B1950" t="str">
        <f>"Folha Mensal"</f>
        <v>Folha Mensal</v>
      </c>
      <c r="C1950" t="str">
        <f>"Silvia Nara Trindade Felix"</f>
        <v>Silvia Nara Trindade Felix</v>
      </c>
      <c r="D1950" t="str">
        <f>"DAS 06"</f>
        <v>DAS 06</v>
      </c>
      <c r="E1950" t="str">
        <f>"Comissionado"</f>
        <v>Comissionado</v>
      </c>
      <c r="F1950" t="str">
        <f>"R$ 2.427,00"</f>
        <v>R$ 2.427,00</v>
      </c>
      <c r="G1950" t="str">
        <f>"R$ 2.427,00"</f>
        <v>R$ 2.427,00</v>
      </c>
      <c r="H1950" t="str">
        <f t="shared" si="202"/>
        <v>R$ 0,00</v>
      </c>
      <c r="I1950" t="str">
        <f>"R$ 2.427,00"</f>
        <v>R$ 2.427,00</v>
      </c>
      <c r="J1950" t="str">
        <f>"R$ 232,20"</f>
        <v>R$ 232,20</v>
      </c>
      <c r="K1950" t="str">
        <f>"R$ 2.194,80"</f>
        <v>R$ 2.194,80</v>
      </c>
    </row>
    <row r="1951" spans="1:11" x14ac:dyDescent="0.25">
      <c r="A1951" t="str">
        <f>"03641236 / 1"</f>
        <v>03641236 / 1</v>
      </c>
      <c r="B1951" t="str">
        <f>"13° Salário Anual"</f>
        <v>13° Salário Anual</v>
      </c>
      <c r="C1951" t="str">
        <f>"Silvio Davi dos Santos Silva"</f>
        <v>Silvio Davi dos Santos Silva</v>
      </c>
      <c r="D1951" t="str">
        <f>"DAS 01"</f>
        <v>DAS 01</v>
      </c>
      <c r="E1951" t="str">
        <f>"Comissionado"</f>
        <v>Comissionado</v>
      </c>
      <c r="F1951" t="str">
        <f>"R$ 1.100,00"</f>
        <v>R$ 1.100,00</v>
      </c>
      <c r="G1951" t="str">
        <f>"R$ 825,00"</f>
        <v>R$ 825,00</v>
      </c>
      <c r="H1951" t="str">
        <f t="shared" si="202"/>
        <v>R$ 0,00</v>
      </c>
      <c r="I1951" t="str">
        <f>"R$ 825,00"</f>
        <v>R$ 825,00</v>
      </c>
      <c r="J1951" t="str">
        <f>"R$ 474,37"</f>
        <v>R$ 474,37</v>
      </c>
      <c r="K1951" t="str">
        <f>"R$ 350,63"</f>
        <v>R$ 350,63</v>
      </c>
    </row>
    <row r="1952" spans="1:11" x14ac:dyDescent="0.25">
      <c r="A1952" t="str">
        <f>"03641236 / 1"</f>
        <v>03641236 / 1</v>
      </c>
      <c r="B1952" t="str">
        <f>"Folha Mensal"</f>
        <v>Folha Mensal</v>
      </c>
      <c r="C1952" t="str">
        <f>"Silvio Davi dos Santos Silva"</f>
        <v>Silvio Davi dos Santos Silva</v>
      </c>
      <c r="D1952" t="str">
        <f>"DAS 01"</f>
        <v>DAS 01</v>
      </c>
      <c r="E1952" t="str">
        <f>"Comissionado"</f>
        <v>Comissionado</v>
      </c>
      <c r="F1952" t="str">
        <f>"R$ 1.100,00"</f>
        <v>R$ 1.100,00</v>
      </c>
      <c r="G1952" t="str">
        <f>"R$ 1.100,00"</f>
        <v>R$ 1.100,00</v>
      </c>
      <c r="H1952" t="str">
        <f>"R$ 288,00"</f>
        <v>R$ 288,00</v>
      </c>
      <c r="I1952" t="str">
        <f>"R$ 1.388,00"</f>
        <v>R$ 1.388,00</v>
      </c>
      <c r="J1952" t="str">
        <f>"R$ 148,50"</f>
        <v>R$ 148,50</v>
      </c>
      <c r="K1952" t="str">
        <f>"R$ 1.239,50"</f>
        <v>R$ 1.239,50</v>
      </c>
    </row>
    <row r="1953" spans="1:11" x14ac:dyDescent="0.25">
      <c r="A1953" t="str">
        <f>"00002968 / 1"</f>
        <v>00002968 / 1</v>
      </c>
      <c r="B1953" t="str">
        <f>"13° Salário Anual"</f>
        <v>13° Salário Anual</v>
      </c>
      <c r="C1953" t="str">
        <f>"Sizinha Silva da Cunha"</f>
        <v>Sizinha Silva da Cunha</v>
      </c>
      <c r="D1953" t="str">
        <f>"PROFESSOR"</f>
        <v>PROFESSOR</v>
      </c>
      <c r="E1953" t="str">
        <f>"Efetivo-Inativo I- RJUSM"</f>
        <v>Efetivo-Inativo I- RJUSM</v>
      </c>
      <c r="F1953" t="str">
        <f>"R$ 1.593,46"</f>
        <v>R$ 1.593,46</v>
      </c>
      <c r="G1953" t="str">
        <f>"R$ 1.991,82"</f>
        <v>R$ 1.991,82</v>
      </c>
      <c r="H1953" t="str">
        <f t="shared" ref="H1953:H1984" si="203">"R$ 0,00"</f>
        <v>R$ 0,00</v>
      </c>
      <c r="I1953" t="str">
        <f>"R$ 1.991,82"</f>
        <v>R$ 1.991,82</v>
      </c>
      <c r="J1953" t="str">
        <f>"R$ 995,91"</f>
        <v>R$ 995,91</v>
      </c>
      <c r="K1953" t="str">
        <f>"R$ 995,91"</f>
        <v>R$ 995,91</v>
      </c>
    </row>
    <row r="1954" spans="1:11" x14ac:dyDescent="0.25">
      <c r="A1954" t="str">
        <f>"00002968 / 1"</f>
        <v>00002968 / 1</v>
      </c>
      <c r="B1954" t="str">
        <f>"Folha Mensal"</f>
        <v>Folha Mensal</v>
      </c>
      <c r="C1954" t="str">
        <f>"Sizinha Silva da Cunha"</f>
        <v>Sizinha Silva da Cunha</v>
      </c>
      <c r="D1954" t="str">
        <f>"PROFESSOR"</f>
        <v>PROFESSOR</v>
      </c>
      <c r="E1954" t="str">
        <f>"Efetivo-Inativo I- RJUSM"</f>
        <v>Efetivo-Inativo I- RJUSM</v>
      </c>
      <c r="F1954" t="str">
        <f>"R$ 1.593,46"</f>
        <v>R$ 1.593,46</v>
      </c>
      <c r="G1954" t="str">
        <f>"R$ 1.991,82"</f>
        <v>R$ 1.991,82</v>
      </c>
      <c r="H1954" t="str">
        <f t="shared" si="203"/>
        <v>R$ 0,00</v>
      </c>
      <c r="I1954" t="str">
        <f>"R$ 1.991,82"</f>
        <v>R$ 1.991,82</v>
      </c>
      <c r="J1954" t="str">
        <f>"R$ 526,06"</f>
        <v>R$ 526,06</v>
      </c>
      <c r="K1954" t="str">
        <f>"R$ 1.465,76"</f>
        <v>R$ 1.465,76</v>
      </c>
    </row>
    <row r="1955" spans="1:11" x14ac:dyDescent="0.25">
      <c r="A1955" t="str">
        <f>"00029262 / 1"</f>
        <v>00029262 / 1</v>
      </c>
      <c r="B1955" t="str">
        <f>"13° Salário Anual"</f>
        <v>13° Salário Anual</v>
      </c>
      <c r="C1955" t="str">
        <f>"Socorro das Dores Braga da Penha"</f>
        <v>Socorro das Dores Braga da Penha</v>
      </c>
      <c r="D1955" t="str">
        <f>"PROFESSOR"</f>
        <v>PROFESSOR</v>
      </c>
      <c r="E1955" t="str">
        <f>"Efetivo-Inativo I- RJUSM"</f>
        <v>Efetivo-Inativo I- RJUSM</v>
      </c>
      <c r="F1955" t="str">
        <f>"R$ 2.133,66"</f>
        <v>R$ 2.133,66</v>
      </c>
      <c r="G1955" t="str">
        <f>"R$ 2.667,07"</f>
        <v>R$ 2.667,07</v>
      </c>
      <c r="H1955" t="str">
        <f t="shared" si="203"/>
        <v>R$ 0,00</v>
      </c>
      <c r="I1955" t="str">
        <f>"R$ 2.667,07"</f>
        <v>R$ 2.667,07</v>
      </c>
      <c r="J1955" t="str">
        <f>"R$ 1.376,54"</f>
        <v>R$ 1.376,54</v>
      </c>
      <c r="K1955" t="str">
        <f>"R$ 1.290,53"</f>
        <v>R$ 1.290,53</v>
      </c>
    </row>
    <row r="1956" spans="1:11" x14ac:dyDescent="0.25">
      <c r="A1956" t="str">
        <f>"00029262 / 1"</f>
        <v>00029262 / 1</v>
      </c>
      <c r="B1956" t="str">
        <f>"Folha Mensal"</f>
        <v>Folha Mensal</v>
      </c>
      <c r="C1956" t="str">
        <f>"Socorro das Dores Braga da Penha"</f>
        <v>Socorro das Dores Braga da Penha</v>
      </c>
      <c r="D1956" t="str">
        <f>"PROFESSOR"</f>
        <v>PROFESSOR</v>
      </c>
      <c r="E1956" t="str">
        <f>"Efetivo-Inativo I- RJUSM"</f>
        <v>Efetivo-Inativo I- RJUSM</v>
      </c>
      <c r="F1956" t="str">
        <f>"R$ 2.133,66"</f>
        <v>R$ 2.133,66</v>
      </c>
      <c r="G1956" t="str">
        <f>"R$ 2.667,07"</f>
        <v>R$ 2.667,07</v>
      </c>
      <c r="H1956" t="str">
        <f t="shared" si="203"/>
        <v>R$ 0,00</v>
      </c>
      <c r="I1956" t="str">
        <f>"R$ 2.667,07"</f>
        <v>R$ 2.667,07</v>
      </c>
      <c r="J1956" t="str">
        <f>"R$ 43,01"</f>
        <v>R$ 43,01</v>
      </c>
      <c r="K1956" t="str">
        <f>"R$ 2.624,06"</f>
        <v>R$ 2.624,06</v>
      </c>
    </row>
    <row r="1957" spans="1:11" x14ac:dyDescent="0.25">
      <c r="A1957" t="str">
        <f>"00022462 / 1"</f>
        <v>00022462 / 1</v>
      </c>
      <c r="B1957" t="str">
        <f>"13° Salário Anual"</f>
        <v>13° Salário Anual</v>
      </c>
      <c r="C1957" t="str">
        <f>"Solange Gomes Negrao Fernandes"</f>
        <v>Solange Gomes Negrao Fernandes</v>
      </c>
      <c r="D1957" t="str">
        <f>"PROFESSOR NIVEL III"</f>
        <v>PROFESSOR NIVEL III</v>
      </c>
      <c r="E1957" t="str">
        <f t="shared" ref="E1957:E1964" si="204">"Efetivo-Inativos II-RJUSM"</f>
        <v>Efetivo-Inativos II-RJUSM</v>
      </c>
      <c r="F1957" t="str">
        <f>"R$ 2.947,92"</f>
        <v>R$ 2.947,92</v>
      </c>
      <c r="G1957" t="str">
        <f>"R$ 3.832,29"</f>
        <v>R$ 3.832,29</v>
      </c>
      <c r="H1957" t="str">
        <f t="shared" si="203"/>
        <v>R$ 0,00</v>
      </c>
      <c r="I1957" t="str">
        <f>"R$ 3.832,29"</f>
        <v>R$ 3.832,29</v>
      </c>
      <c r="J1957" t="str">
        <f>"R$ 2.142,27"</f>
        <v>R$ 2.142,27</v>
      </c>
      <c r="K1957" t="str">
        <f>"R$ 1.690,02"</f>
        <v>R$ 1.690,02</v>
      </c>
    </row>
    <row r="1958" spans="1:11" x14ac:dyDescent="0.25">
      <c r="A1958" t="str">
        <f>"00022462 / 1"</f>
        <v>00022462 / 1</v>
      </c>
      <c r="B1958" t="str">
        <f>"Folha Mensal"</f>
        <v>Folha Mensal</v>
      </c>
      <c r="C1958" t="str">
        <f>"Solange Gomes Negrao Fernandes"</f>
        <v>Solange Gomes Negrao Fernandes</v>
      </c>
      <c r="D1958" t="str">
        <f>"PROFESSOR NIVEL III"</f>
        <v>PROFESSOR NIVEL III</v>
      </c>
      <c r="E1958" t="str">
        <f t="shared" si="204"/>
        <v>Efetivo-Inativos II-RJUSM</v>
      </c>
      <c r="F1958" t="str">
        <f>"R$ 2.947,92"</f>
        <v>R$ 2.947,92</v>
      </c>
      <c r="G1958" t="str">
        <f>"R$ 3.832,29"</f>
        <v>R$ 3.832,29</v>
      </c>
      <c r="H1958" t="str">
        <f t="shared" si="203"/>
        <v>R$ 0,00</v>
      </c>
      <c r="I1958" t="str">
        <f>"R$ 3.832,29"</f>
        <v>R$ 3.832,29</v>
      </c>
      <c r="J1958" t="str">
        <f>"R$ 1.269,40"</f>
        <v>R$ 1.269,40</v>
      </c>
      <c r="K1958" t="str">
        <f>"R$ 2.562,89"</f>
        <v>R$ 2.562,89</v>
      </c>
    </row>
    <row r="1959" spans="1:11" x14ac:dyDescent="0.25">
      <c r="A1959" t="str">
        <f>"00002054 / 1"</f>
        <v>00002054 / 1</v>
      </c>
      <c r="B1959" t="str">
        <f>"13° Salário Anual"</f>
        <v>13° Salário Anual</v>
      </c>
      <c r="C1959" t="str">
        <f>"Sonia do Socorro da Cruz"</f>
        <v>Sonia do Socorro da Cruz</v>
      </c>
      <c r="D1959" t="str">
        <f>"PROFESSOR NIVEL II"</f>
        <v>PROFESSOR NIVEL II</v>
      </c>
      <c r="E1959" t="str">
        <f t="shared" si="204"/>
        <v>Efetivo-Inativos II-RJUSM</v>
      </c>
      <c r="F1959" t="str">
        <f>"R$ 2.868,22"</f>
        <v>R$ 2.868,22</v>
      </c>
      <c r="G1959" t="str">
        <f>"R$ 3.585,27"</f>
        <v>R$ 3.585,27</v>
      </c>
      <c r="H1959" t="str">
        <f t="shared" si="203"/>
        <v>R$ 0,00</v>
      </c>
      <c r="I1959" t="str">
        <f>"R$ 3.585,27"</f>
        <v>R$ 3.585,27</v>
      </c>
      <c r="J1959" t="str">
        <f>"R$ 1.975,62"</f>
        <v>R$ 1.975,62</v>
      </c>
      <c r="K1959" t="str">
        <f>"R$ 1.609,65"</f>
        <v>R$ 1.609,65</v>
      </c>
    </row>
    <row r="1960" spans="1:11" x14ac:dyDescent="0.25">
      <c r="A1960" t="str">
        <f>"00002054 / 1"</f>
        <v>00002054 / 1</v>
      </c>
      <c r="B1960" t="str">
        <f>"Folha Mensal"</f>
        <v>Folha Mensal</v>
      </c>
      <c r="C1960" t="str">
        <f>"Sonia do Socorro da Cruz"</f>
        <v>Sonia do Socorro da Cruz</v>
      </c>
      <c r="D1960" t="str">
        <f>"PROFESSOR NIVEL II"</f>
        <v>PROFESSOR NIVEL II</v>
      </c>
      <c r="E1960" t="str">
        <f t="shared" si="204"/>
        <v>Efetivo-Inativos II-RJUSM</v>
      </c>
      <c r="F1960" t="str">
        <f>"R$ 2.868,22"</f>
        <v>R$ 2.868,22</v>
      </c>
      <c r="G1960" t="str">
        <f>"R$ 3.585,27"</f>
        <v>R$ 3.585,27</v>
      </c>
      <c r="H1960" t="str">
        <f t="shared" si="203"/>
        <v>R$ 0,00</v>
      </c>
      <c r="I1960" t="str">
        <f>"R$ 3.585,27"</f>
        <v>R$ 3.585,27</v>
      </c>
      <c r="J1960" t="str">
        <f>"R$ 182,99"</f>
        <v>R$ 182,99</v>
      </c>
      <c r="K1960" t="str">
        <f>"R$ 3.402,28"</f>
        <v>R$ 3.402,28</v>
      </c>
    </row>
    <row r="1961" spans="1:11" x14ac:dyDescent="0.25">
      <c r="A1961" t="str">
        <f>"03640043 / 1"</f>
        <v>03640043 / 1</v>
      </c>
      <c r="B1961" t="str">
        <f>"13° Salário Anual"</f>
        <v>13° Salário Anual</v>
      </c>
      <c r="C1961" t="str">
        <f>"Sonia Helena Lima Nogueira"</f>
        <v>Sonia Helena Lima Nogueira</v>
      </c>
      <c r="D1961" t="str">
        <f>"PROFESSOR NIVEL III"</f>
        <v>PROFESSOR NIVEL III</v>
      </c>
      <c r="E1961" t="str">
        <f t="shared" si="204"/>
        <v>Efetivo-Inativos II-RJUSM</v>
      </c>
      <c r="F1961" t="str">
        <f>"R$ 2.868,23"</f>
        <v>R$ 2.868,23</v>
      </c>
      <c r="G1961" t="str">
        <f>"R$ 3.585,28"</f>
        <v>R$ 3.585,28</v>
      </c>
      <c r="H1961" t="str">
        <f t="shared" si="203"/>
        <v>R$ 0,00</v>
      </c>
      <c r="I1961" t="str">
        <f>"R$ 3.585,28"</f>
        <v>R$ 3.585,28</v>
      </c>
      <c r="J1961" t="str">
        <f>"R$ 1.975,63"</f>
        <v>R$ 1.975,63</v>
      </c>
      <c r="K1961" t="str">
        <f>"R$ 1.609,65"</f>
        <v>R$ 1.609,65</v>
      </c>
    </row>
    <row r="1962" spans="1:11" x14ac:dyDescent="0.25">
      <c r="A1962" t="str">
        <f>"03640043 / 1"</f>
        <v>03640043 / 1</v>
      </c>
      <c r="B1962" t="str">
        <f>"Folha Mensal"</f>
        <v>Folha Mensal</v>
      </c>
      <c r="C1962" t="str">
        <f>"Sonia Helena Lima Nogueira"</f>
        <v>Sonia Helena Lima Nogueira</v>
      </c>
      <c r="D1962" t="str">
        <f>"PROFESSOR NIVEL III"</f>
        <v>PROFESSOR NIVEL III</v>
      </c>
      <c r="E1962" t="str">
        <f t="shared" si="204"/>
        <v>Efetivo-Inativos II-RJUSM</v>
      </c>
      <c r="F1962" t="str">
        <f>"R$ 2.868,23"</f>
        <v>R$ 2.868,23</v>
      </c>
      <c r="G1962" t="str">
        <f>"R$ 3.585,28"</f>
        <v>R$ 3.585,28</v>
      </c>
      <c r="H1962" t="str">
        <f t="shared" si="203"/>
        <v>R$ 0,00</v>
      </c>
      <c r="I1962" t="str">
        <f>"R$ 3.585,28"</f>
        <v>R$ 3.585,28</v>
      </c>
      <c r="J1962" t="str">
        <f>"R$ 1.441,44"</f>
        <v>R$ 1.441,44</v>
      </c>
      <c r="K1962" t="str">
        <f>"R$ 2.143,84"</f>
        <v>R$ 2.143,84</v>
      </c>
    </row>
    <row r="1963" spans="1:11" x14ac:dyDescent="0.25">
      <c r="A1963" t="str">
        <f>"00001511 / 2"</f>
        <v>00001511 / 2</v>
      </c>
      <c r="B1963" t="str">
        <f>"13° Salário Anual"</f>
        <v>13° Salário Anual</v>
      </c>
      <c r="C1963" t="str">
        <f>"Sonia Lucia de Lima Cordovil"</f>
        <v>Sonia Lucia de Lima Cordovil</v>
      </c>
      <c r="D1963" t="str">
        <f>"PROFESSOR NIVEL II"</f>
        <v>PROFESSOR NIVEL II</v>
      </c>
      <c r="E1963" t="str">
        <f t="shared" si="204"/>
        <v>Efetivo-Inativos II-RJUSM</v>
      </c>
      <c r="F1963" t="str">
        <f>"R$ 5.736,47"</f>
        <v>R$ 5.736,47</v>
      </c>
      <c r="G1963" t="str">
        <f>"R$ 7.457,41"</f>
        <v>R$ 7.457,41</v>
      </c>
      <c r="H1963" t="str">
        <f t="shared" si="203"/>
        <v>R$ 0,00</v>
      </c>
      <c r="I1963" t="str">
        <f>"R$ 7.457,41"</f>
        <v>R$ 7.457,41</v>
      </c>
      <c r="J1963" t="str">
        <f>"R$ 5.047,79"</f>
        <v>R$ 5.047,79</v>
      </c>
      <c r="K1963" t="str">
        <f>"R$ 2.409,62"</f>
        <v>R$ 2.409,62</v>
      </c>
    </row>
    <row r="1964" spans="1:11" x14ac:dyDescent="0.25">
      <c r="A1964" t="str">
        <f>"00001511 / 2"</f>
        <v>00001511 / 2</v>
      </c>
      <c r="B1964" t="str">
        <f>"Folha Mensal"</f>
        <v>Folha Mensal</v>
      </c>
      <c r="C1964" t="str">
        <f>"Sonia Lucia de Lima Cordovil"</f>
        <v>Sonia Lucia de Lima Cordovil</v>
      </c>
      <c r="D1964" t="str">
        <f>"PROFESSOR NIVEL II"</f>
        <v>PROFESSOR NIVEL II</v>
      </c>
      <c r="E1964" t="str">
        <f t="shared" si="204"/>
        <v>Efetivo-Inativos II-RJUSM</v>
      </c>
      <c r="F1964" t="str">
        <f>"R$ 5.736,47"</f>
        <v>R$ 5.736,47</v>
      </c>
      <c r="G1964" t="str">
        <f>"R$ 7.457,41"</f>
        <v>R$ 7.457,41</v>
      </c>
      <c r="H1964" t="str">
        <f t="shared" si="203"/>
        <v>R$ 0,00</v>
      </c>
      <c r="I1964" t="str">
        <f>"R$ 7.457,41"</f>
        <v>R$ 7.457,41</v>
      </c>
      <c r="J1964" t="str">
        <f>"R$ 1.319,09"</f>
        <v>R$ 1.319,09</v>
      </c>
      <c r="K1964" t="str">
        <f>"R$ 6.138,32"</f>
        <v>R$ 6.138,32</v>
      </c>
    </row>
    <row r="1965" spans="1:11" x14ac:dyDescent="0.25">
      <c r="A1965" t="str">
        <f>"00009440 / 1"</f>
        <v>00009440 / 1</v>
      </c>
      <c r="B1965" t="str">
        <f>"13° Salário Anual"</f>
        <v>13° Salário Anual</v>
      </c>
      <c r="C1965" t="str">
        <f>"Sonia Maria Cunha da Silva"</f>
        <v>Sonia Maria Cunha da Silva</v>
      </c>
      <c r="D1965" t="str">
        <f>"PROFESSOR NIVEL II"</f>
        <v>PROFESSOR NIVEL II</v>
      </c>
      <c r="E1965" t="str">
        <f>"Efetivo-Inativo I- RJUSM"</f>
        <v>Efetivo-Inativo I- RJUSM</v>
      </c>
      <c r="F1965" t="str">
        <f>"R$ 3.492,21"</f>
        <v>R$ 3.492,21</v>
      </c>
      <c r="G1965" t="str">
        <f>"R$ 4.365,26"</f>
        <v>R$ 4.365,26</v>
      </c>
      <c r="H1965" t="str">
        <f t="shared" si="203"/>
        <v>R$ 0,00</v>
      </c>
      <c r="I1965" t="str">
        <f>"R$ 4.365,26"</f>
        <v>R$ 4.365,26</v>
      </c>
      <c r="J1965" t="str">
        <f>"R$ 2.210,20"</f>
        <v>R$ 2.210,20</v>
      </c>
      <c r="K1965" t="str">
        <f>"R$ 2.155,06"</f>
        <v>R$ 2.155,06</v>
      </c>
    </row>
    <row r="1966" spans="1:11" x14ac:dyDescent="0.25">
      <c r="A1966" t="str">
        <f>"00009440 / 1"</f>
        <v>00009440 / 1</v>
      </c>
      <c r="B1966" t="str">
        <f>"Folha Mensal"</f>
        <v>Folha Mensal</v>
      </c>
      <c r="C1966" t="str">
        <f>"Sonia Maria Cunha da Silva"</f>
        <v>Sonia Maria Cunha da Silva</v>
      </c>
      <c r="D1966" t="str">
        <f>"PROFESSOR NIVEL II"</f>
        <v>PROFESSOR NIVEL II</v>
      </c>
      <c r="E1966" t="str">
        <f>"Efetivo-Inativo I- RJUSM"</f>
        <v>Efetivo-Inativo I- RJUSM</v>
      </c>
      <c r="F1966" t="str">
        <f>"R$ 3.492,21"</f>
        <v>R$ 3.492,21</v>
      </c>
      <c r="G1966" t="str">
        <f>"R$ 4.365,26"</f>
        <v>R$ 4.365,26</v>
      </c>
      <c r="H1966" t="str">
        <f t="shared" si="203"/>
        <v>R$ 0,00</v>
      </c>
      <c r="I1966" t="str">
        <f>"R$ 4.365,26"</f>
        <v>R$ 4.365,26</v>
      </c>
      <c r="J1966" t="str">
        <f>"R$ 27,57"</f>
        <v>R$ 27,57</v>
      </c>
      <c r="K1966" t="str">
        <f>"R$ 4.337,69"</f>
        <v>R$ 4.337,69</v>
      </c>
    </row>
    <row r="1967" spans="1:11" x14ac:dyDescent="0.25">
      <c r="A1967" t="str">
        <f>"03641694 / 1"</f>
        <v>03641694 / 1</v>
      </c>
      <c r="B1967" t="str">
        <f>"13° Salário Anual"</f>
        <v>13° Salário Anual</v>
      </c>
      <c r="C1967" t="str">
        <f>"Sonia Maria da Cunha Vieira"</f>
        <v>Sonia Maria da Cunha Vieira</v>
      </c>
      <c r="D1967" t="str">
        <f>"TECNICO MUNICIPAL"</f>
        <v>TECNICO MUNICIPAL</v>
      </c>
      <c r="E1967" t="str">
        <f>"Efetivo-Inativos II-RJUSM"</f>
        <v>Efetivo-Inativos II-RJUSM</v>
      </c>
      <c r="F1967" t="str">
        <f>"R$ 1.100,00"</f>
        <v>R$ 1.100,00</v>
      </c>
      <c r="G1967" t="str">
        <f>"R$ 495,00"</f>
        <v>R$ 495,00</v>
      </c>
      <c r="H1967" t="str">
        <f t="shared" si="203"/>
        <v>R$ 0,00</v>
      </c>
      <c r="I1967" t="str">
        <f>"R$ 495,00"</f>
        <v>R$ 495,00</v>
      </c>
      <c r="J1967" t="str">
        <f>"R$ 247,50"</f>
        <v>R$ 247,50</v>
      </c>
      <c r="K1967" t="str">
        <f>"R$ 247,50"</f>
        <v>R$ 247,50</v>
      </c>
    </row>
    <row r="1968" spans="1:11" x14ac:dyDescent="0.25">
      <c r="A1968" t="str">
        <f>"03641694 / 1"</f>
        <v>03641694 / 1</v>
      </c>
      <c r="B1968" t="str">
        <f>"Folha Mensal"</f>
        <v>Folha Mensal</v>
      </c>
      <c r="C1968" t="str">
        <f>"Sonia Maria da Cunha Vieira"</f>
        <v>Sonia Maria da Cunha Vieira</v>
      </c>
      <c r="D1968" t="str">
        <f>"TECNICO MUNICIPAL"</f>
        <v>TECNICO MUNICIPAL</v>
      </c>
      <c r="E1968" t="str">
        <f>"Efetivo-Inativos II-RJUSM"</f>
        <v>Efetivo-Inativos II-RJUSM</v>
      </c>
      <c r="F1968" t="str">
        <f>"R$ 1.100,00"</f>
        <v>R$ 1.100,00</v>
      </c>
      <c r="G1968" t="str">
        <f>"R$ 1.485,00"</f>
        <v>R$ 1.485,00</v>
      </c>
      <c r="H1968" t="str">
        <f t="shared" si="203"/>
        <v>R$ 0,00</v>
      </c>
      <c r="I1968" t="str">
        <f>"R$ 1.485,00"</f>
        <v>R$ 1.485,00</v>
      </c>
      <c r="J1968" t="str">
        <f>"R$ 0,00"</f>
        <v>R$ 0,00</v>
      </c>
      <c r="K1968" t="str">
        <f>"R$ 1.485,00"</f>
        <v>R$ 1.485,00</v>
      </c>
    </row>
    <row r="1969" spans="1:11" x14ac:dyDescent="0.25">
      <c r="A1969" t="str">
        <f>"00009830 / 1"</f>
        <v>00009830 / 1</v>
      </c>
      <c r="B1969" t="str">
        <f>"13° Salário Anual"</f>
        <v>13° Salário Anual</v>
      </c>
      <c r="C1969" t="str">
        <f>"Sonia Maria da Gracas Teixeira Silva"</f>
        <v>Sonia Maria da Gracas Teixeira Silva</v>
      </c>
      <c r="D1969" t="str">
        <f>"PROFESSOR"</f>
        <v>PROFESSOR</v>
      </c>
      <c r="E1969" t="str">
        <f>"Efetivo-Inativo I- RJUSM"</f>
        <v>Efetivo-Inativo I- RJUSM</v>
      </c>
      <c r="F1969" t="str">
        <f>"R$ 1.593,46"</f>
        <v>R$ 1.593,46</v>
      </c>
      <c r="G1969" t="str">
        <f>"R$ 2.297,76"</f>
        <v>R$ 2.297,76</v>
      </c>
      <c r="H1969" t="str">
        <f t="shared" si="203"/>
        <v>R$ 0,00</v>
      </c>
      <c r="I1969" t="str">
        <f>"R$ 2.297,76"</f>
        <v>R$ 2.297,76</v>
      </c>
      <c r="J1969" t="str">
        <f>"R$ 1.148,88"</f>
        <v>R$ 1.148,88</v>
      </c>
      <c r="K1969" t="str">
        <f>"R$ 1.148,88"</f>
        <v>R$ 1.148,88</v>
      </c>
    </row>
    <row r="1970" spans="1:11" x14ac:dyDescent="0.25">
      <c r="A1970" t="str">
        <f>"00009830 / 1"</f>
        <v>00009830 / 1</v>
      </c>
      <c r="B1970" t="str">
        <f>"Folha Mensal"</f>
        <v>Folha Mensal</v>
      </c>
      <c r="C1970" t="str">
        <f>"Sonia Maria da Gracas Teixeira Silva"</f>
        <v>Sonia Maria da Gracas Teixeira Silva</v>
      </c>
      <c r="D1970" t="str">
        <f>"PROFESSOR"</f>
        <v>PROFESSOR</v>
      </c>
      <c r="E1970" t="str">
        <f>"Efetivo-Inativo I- RJUSM"</f>
        <v>Efetivo-Inativo I- RJUSM</v>
      </c>
      <c r="F1970" t="str">
        <f>"R$ 1.593,46"</f>
        <v>R$ 1.593,46</v>
      </c>
      <c r="G1970" t="str">
        <f>"R$ 2.297,76"</f>
        <v>R$ 2.297,76</v>
      </c>
      <c r="H1970" t="str">
        <f t="shared" si="203"/>
        <v>R$ 0,00</v>
      </c>
      <c r="I1970" t="str">
        <f>"R$ 2.297,76"</f>
        <v>R$ 2.297,76</v>
      </c>
      <c r="J1970" t="str">
        <f>"R$ 557,89"</f>
        <v>R$ 557,89</v>
      </c>
      <c r="K1970" t="str">
        <f>"R$ 1.739,87"</f>
        <v>R$ 1.739,87</v>
      </c>
    </row>
    <row r="1971" spans="1:11" x14ac:dyDescent="0.25">
      <c r="A1971" t="str">
        <f>"00266892 / 1"</f>
        <v>00266892 / 1</v>
      </c>
      <c r="B1971" t="str">
        <f>"13° Salário Anual"</f>
        <v>13° Salário Anual</v>
      </c>
      <c r="C1971" t="str">
        <f>"Sonia Maria da Rocha Carvalho"</f>
        <v>Sonia Maria da Rocha Carvalho</v>
      </c>
      <c r="D1971" t="str">
        <f>"AG COMUNIT DE SAUDE"</f>
        <v>AG COMUNIT DE SAUDE</v>
      </c>
      <c r="E1971" t="str">
        <f>"Efetivo-Inativos II-RJUSM"</f>
        <v>Efetivo-Inativos II-RJUSM</v>
      </c>
      <c r="F1971" t="str">
        <f>"R$ 1.100,00"</f>
        <v>R$ 1.100,00</v>
      </c>
      <c r="G1971" t="str">
        <f>"R$ 1.100,00"</f>
        <v>R$ 1.100,00</v>
      </c>
      <c r="H1971" t="str">
        <f t="shared" si="203"/>
        <v>R$ 0,00</v>
      </c>
      <c r="I1971" t="str">
        <f>"R$ 1.100,00"</f>
        <v>R$ 1.100,00</v>
      </c>
      <c r="J1971" t="str">
        <f>"R$ 550,00"</f>
        <v>R$ 550,00</v>
      </c>
      <c r="K1971" t="str">
        <f>"R$ 550,00"</f>
        <v>R$ 550,00</v>
      </c>
    </row>
    <row r="1972" spans="1:11" x14ac:dyDescent="0.25">
      <c r="A1972" t="str">
        <f>"00266892 / 1"</f>
        <v>00266892 / 1</v>
      </c>
      <c r="B1972" t="str">
        <f>"Folha Mensal"</f>
        <v>Folha Mensal</v>
      </c>
      <c r="C1972" t="str">
        <f>"Sonia Maria da Rocha Carvalho"</f>
        <v>Sonia Maria da Rocha Carvalho</v>
      </c>
      <c r="D1972" t="str">
        <f>"AG COMUNIT DE SAUDE"</f>
        <v>AG COMUNIT DE SAUDE</v>
      </c>
      <c r="E1972" t="str">
        <f>"Efetivo-Inativos II-RJUSM"</f>
        <v>Efetivo-Inativos II-RJUSM</v>
      </c>
      <c r="F1972" t="str">
        <f>"R$ 1.100,00"</f>
        <v>R$ 1.100,00</v>
      </c>
      <c r="G1972" t="str">
        <f>"R$ 1.100,00"</f>
        <v>R$ 1.100,00</v>
      </c>
      <c r="H1972" t="str">
        <f t="shared" si="203"/>
        <v>R$ 0,00</v>
      </c>
      <c r="I1972" t="str">
        <f>"R$ 1.100,00"</f>
        <v>R$ 1.100,00</v>
      </c>
      <c r="J1972" t="str">
        <f>"R$ 0,00"</f>
        <v>R$ 0,00</v>
      </c>
      <c r="K1972" t="str">
        <f>"R$ 1.100,00"</f>
        <v>R$ 1.100,00</v>
      </c>
    </row>
    <row r="1973" spans="1:11" x14ac:dyDescent="0.25">
      <c r="A1973" t="str">
        <f>"00002267 / 1"</f>
        <v>00002267 / 1</v>
      </c>
      <c r="B1973" t="str">
        <f>"13° Salário Anual"</f>
        <v>13° Salário Anual</v>
      </c>
      <c r="C1973" t="str">
        <f>"Sonia Maria Gurjao Peres"</f>
        <v>Sonia Maria Gurjao Peres</v>
      </c>
      <c r="D1973" t="str">
        <f>"PROFESSOR"</f>
        <v>PROFESSOR</v>
      </c>
      <c r="E1973" t="str">
        <f>"Efetivo-Inativo I- RJUSM"</f>
        <v>Efetivo-Inativo I- RJUSM</v>
      </c>
      <c r="F1973" t="str">
        <f>"R$ 1.593,46"</f>
        <v>R$ 1.593,46</v>
      </c>
      <c r="G1973" t="str">
        <f>"R$ 1.991,82"</f>
        <v>R$ 1.991,82</v>
      </c>
      <c r="H1973" t="str">
        <f t="shared" si="203"/>
        <v>R$ 0,00</v>
      </c>
      <c r="I1973" t="str">
        <f>"R$ 1.991,82"</f>
        <v>R$ 1.991,82</v>
      </c>
      <c r="J1973" t="str">
        <f>"R$ 995,91"</f>
        <v>R$ 995,91</v>
      </c>
      <c r="K1973" t="str">
        <f>"R$ 995,91"</f>
        <v>R$ 995,91</v>
      </c>
    </row>
    <row r="1974" spans="1:11" x14ac:dyDescent="0.25">
      <c r="A1974" t="str">
        <f>"00002267 / 1"</f>
        <v>00002267 / 1</v>
      </c>
      <c r="B1974" t="str">
        <f>"Folha Mensal"</f>
        <v>Folha Mensal</v>
      </c>
      <c r="C1974" t="str">
        <f>"Sonia Maria Gurjao Peres"</f>
        <v>Sonia Maria Gurjao Peres</v>
      </c>
      <c r="D1974" t="str">
        <f>"PROFESSOR"</f>
        <v>PROFESSOR</v>
      </c>
      <c r="E1974" t="str">
        <f>"Efetivo-Inativo I- RJUSM"</f>
        <v>Efetivo-Inativo I- RJUSM</v>
      </c>
      <c r="F1974" t="str">
        <f>"R$ 1.593,46"</f>
        <v>R$ 1.593,46</v>
      </c>
      <c r="G1974" t="str">
        <f>"R$ 1.991,82"</f>
        <v>R$ 1.991,82</v>
      </c>
      <c r="H1974" t="str">
        <f t="shared" si="203"/>
        <v>R$ 0,00</v>
      </c>
      <c r="I1974" t="str">
        <f>"R$ 1.991,82"</f>
        <v>R$ 1.991,82</v>
      </c>
      <c r="J1974" t="str">
        <f>"R$ 597,50"</f>
        <v>R$ 597,50</v>
      </c>
      <c r="K1974" t="str">
        <f>"R$ 1.394,32"</f>
        <v>R$ 1.394,32</v>
      </c>
    </row>
    <row r="1975" spans="1:11" x14ac:dyDescent="0.25">
      <c r="A1975" t="str">
        <f>"00011274 / 1"</f>
        <v>00011274 / 1</v>
      </c>
      <c r="B1975" t="str">
        <f>"13° Salário Anual"</f>
        <v>13° Salário Anual</v>
      </c>
      <c r="C1975" t="str">
        <f>"Sonia Maria Leite Cardoso"</f>
        <v>Sonia Maria Leite Cardoso</v>
      </c>
      <c r="D1975" t="str">
        <f>"PROFESSOR"</f>
        <v>PROFESSOR</v>
      </c>
      <c r="E1975" t="str">
        <f>"Efetivo-Inativo I- RJUSM"</f>
        <v>Efetivo-Inativo I- RJUSM</v>
      </c>
      <c r="F1975" t="str">
        <f>"R$ 1.593,46"</f>
        <v>R$ 1.593,46</v>
      </c>
      <c r="G1975" t="str">
        <f>"R$ 1.991,82"</f>
        <v>R$ 1.991,82</v>
      </c>
      <c r="H1975" t="str">
        <f t="shared" si="203"/>
        <v>R$ 0,00</v>
      </c>
      <c r="I1975" t="str">
        <f>"R$ 1.991,82"</f>
        <v>R$ 1.991,82</v>
      </c>
      <c r="J1975" t="str">
        <f>"R$ 995,91"</f>
        <v>R$ 995,91</v>
      </c>
      <c r="K1975" t="str">
        <f>"R$ 995,91"</f>
        <v>R$ 995,91</v>
      </c>
    </row>
    <row r="1976" spans="1:11" x14ac:dyDescent="0.25">
      <c r="A1976" t="str">
        <f>"00011274 / 1"</f>
        <v>00011274 / 1</v>
      </c>
      <c r="B1976" t="str">
        <f>"Folha Mensal"</f>
        <v>Folha Mensal</v>
      </c>
      <c r="C1976" t="str">
        <f>"Sonia Maria Leite Cardoso"</f>
        <v>Sonia Maria Leite Cardoso</v>
      </c>
      <c r="D1976" t="str">
        <f>"PROFESSOR"</f>
        <v>PROFESSOR</v>
      </c>
      <c r="E1976" t="str">
        <f>"Efetivo-Inativo I- RJUSM"</f>
        <v>Efetivo-Inativo I- RJUSM</v>
      </c>
      <c r="F1976" t="str">
        <f>"R$ 1.593,46"</f>
        <v>R$ 1.593,46</v>
      </c>
      <c r="G1976" t="str">
        <f>"R$ 1.991,82"</f>
        <v>R$ 1.991,82</v>
      </c>
      <c r="H1976" t="str">
        <f t="shared" si="203"/>
        <v>R$ 0,00</v>
      </c>
      <c r="I1976" t="str">
        <f>"R$ 1.991,82"</f>
        <v>R$ 1.991,82</v>
      </c>
      <c r="J1976" t="str">
        <f>"R$ 0,00"</f>
        <v>R$ 0,00</v>
      </c>
      <c r="K1976" t="str">
        <f>"R$ 1.991,82"</f>
        <v>R$ 1.991,82</v>
      </c>
    </row>
    <row r="1977" spans="1:11" x14ac:dyDescent="0.25">
      <c r="A1977" t="str">
        <f>"00002933 / 2"</f>
        <v>00002933 / 2</v>
      </c>
      <c r="B1977" t="str">
        <f>"13° Salário Anual"</f>
        <v>13° Salário Anual</v>
      </c>
      <c r="C1977" t="str">
        <f>"Sonia Maria Ribeiro da Silva"</f>
        <v>Sonia Maria Ribeiro da Silva</v>
      </c>
      <c r="D1977" t="str">
        <f>"INT TEMP CONTRIBUICAO"</f>
        <v>INT TEMP CONTRIBUICAO</v>
      </c>
      <c r="E1977" t="str">
        <f t="shared" ref="E1977:E1986" si="205">"Efetivo-Inativos II-RJUSM"</f>
        <v>Efetivo-Inativos II-RJUSM</v>
      </c>
      <c r="F1977" t="str">
        <f>"R$ 1.100,00"</f>
        <v>R$ 1.100,00</v>
      </c>
      <c r="G1977" t="str">
        <f>"R$ 1.430,00"</f>
        <v>R$ 1.430,00</v>
      </c>
      <c r="H1977" t="str">
        <f t="shared" si="203"/>
        <v>R$ 0,00</v>
      </c>
      <c r="I1977" t="str">
        <f>"R$ 1.430,00"</f>
        <v>R$ 1.430,00</v>
      </c>
      <c r="J1977" t="str">
        <f>"R$ 715,00"</f>
        <v>R$ 715,00</v>
      </c>
      <c r="K1977" t="str">
        <f>"R$ 715,00"</f>
        <v>R$ 715,00</v>
      </c>
    </row>
    <row r="1978" spans="1:11" x14ac:dyDescent="0.25">
      <c r="A1978" t="str">
        <f>"00002933 / 2"</f>
        <v>00002933 / 2</v>
      </c>
      <c r="B1978" t="str">
        <f>"Folha Mensal"</f>
        <v>Folha Mensal</v>
      </c>
      <c r="C1978" t="str">
        <f>"Sonia Maria Ribeiro da Silva"</f>
        <v>Sonia Maria Ribeiro da Silva</v>
      </c>
      <c r="D1978" t="str">
        <f>"INT TEMP CONTRIBUICAO"</f>
        <v>INT TEMP CONTRIBUICAO</v>
      </c>
      <c r="E1978" t="str">
        <f t="shared" si="205"/>
        <v>Efetivo-Inativos II-RJUSM</v>
      </c>
      <c r="F1978" t="str">
        <f>"R$ 1.100,00"</f>
        <v>R$ 1.100,00</v>
      </c>
      <c r="G1978" t="str">
        <f>"R$ 1.430,00"</f>
        <v>R$ 1.430,00</v>
      </c>
      <c r="H1978" t="str">
        <f t="shared" si="203"/>
        <v>R$ 0,00</v>
      </c>
      <c r="I1978" t="str">
        <f>"R$ 1.430,00"</f>
        <v>R$ 1.430,00</v>
      </c>
      <c r="J1978" t="str">
        <f>"R$ 0,00"</f>
        <v>R$ 0,00</v>
      </c>
      <c r="K1978" t="str">
        <f>"R$ 1.430,00"</f>
        <v>R$ 1.430,00</v>
      </c>
    </row>
    <row r="1979" spans="1:11" x14ac:dyDescent="0.25">
      <c r="A1979" t="str">
        <f>"00008567 / 1"</f>
        <v>00008567 / 1</v>
      </c>
      <c r="B1979" t="str">
        <f>"13° Salário Anual"</f>
        <v>13° Salário Anual</v>
      </c>
      <c r="C1979" t="str">
        <f>"Sonia Maura Ribeiro de Souza"</f>
        <v>Sonia Maura Ribeiro de Souza</v>
      </c>
      <c r="D1979" t="str">
        <f>"AUXILIAR MUNICIPAL"</f>
        <v>AUXILIAR MUNICIPAL</v>
      </c>
      <c r="E1979" t="str">
        <f t="shared" si="205"/>
        <v>Efetivo-Inativos II-RJUSM</v>
      </c>
      <c r="F1979" t="str">
        <f>"R$ 1.100,00"</f>
        <v>R$ 1.100,00</v>
      </c>
      <c r="G1979" t="str">
        <f>"R$ 1.430,00"</f>
        <v>R$ 1.430,00</v>
      </c>
      <c r="H1979" t="str">
        <f t="shared" si="203"/>
        <v>R$ 0,00</v>
      </c>
      <c r="I1979" t="str">
        <f>"R$ 1.430,00"</f>
        <v>R$ 1.430,00</v>
      </c>
      <c r="J1979" t="str">
        <f>"R$ 715,00"</f>
        <v>R$ 715,00</v>
      </c>
      <c r="K1979" t="str">
        <f>"R$ 715,00"</f>
        <v>R$ 715,00</v>
      </c>
    </row>
    <row r="1980" spans="1:11" x14ac:dyDescent="0.25">
      <c r="A1980" t="str">
        <f>"00008567 / 1"</f>
        <v>00008567 / 1</v>
      </c>
      <c r="B1980" t="str">
        <f>"Folha Mensal"</f>
        <v>Folha Mensal</v>
      </c>
      <c r="C1980" t="str">
        <f>"Sonia Maura Ribeiro de Souza"</f>
        <v>Sonia Maura Ribeiro de Souza</v>
      </c>
      <c r="D1980" t="str">
        <f>"AUXILIAR MUNICIPAL"</f>
        <v>AUXILIAR MUNICIPAL</v>
      </c>
      <c r="E1980" t="str">
        <f t="shared" si="205"/>
        <v>Efetivo-Inativos II-RJUSM</v>
      </c>
      <c r="F1980" t="str">
        <f>"R$ 1.100,00"</f>
        <v>R$ 1.100,00</v>
      </c>
      <c r="G1980" t="str">
        <f>"R$ 1.430,00"</f>
        <v>R$ 1.430,00</v>
      </c>
      <c r="H1980" t="str">
        <f t="shared" si="203"/>
        <v>R$ 0,00</v>
      </c>
      <c r="I1980" t="str">
        <f>"R$ 1.430,00"</f>
        <v>R$ 1.430,00</v>
      </c>
      <c r="J1980" t="str">
        <f>"R$ 0,00"</f>
        <v>R$ 0,00</v>
      </c>
      <c r="K1980" t="str">
        <f>"R$ 1.430,00"</f>
        <v>R$ 1.430,00</v>
      </c>
    </row>
    <row r="1981" spans="1:11" x14ac:dyDescent="0.25">
      <c r="A1981" t="str">
        <f>"00053538 / 2"</f>
        <v>00053538 / 2</v>
      </c>
      <c r="B1981" t="str">
        <f>"13° Salário Anual"</f>
        <v>13° Salário Anual</v>
      </c>
      <c r="C1981" t="str">
        <f>"Sonia Regina Begot Risuenho"</f>
        <v>Sonia Regina Begot Risuenho</v>
      </c>
      <c r="D1981" t="str">
        <f>"PROFESSOR NIVEL III"</f>
        <v>PROFESSOR NIVEL III</v>
      </c>
      <c r="E1981" t="str">
        <f t="shared" si="205"/>
        <v>Efetivo-Inativos II-RJUSM</v>
      </c>
      <c r="F1981" t="str">
        <f>"R$ 5.736,48"</f>
        <v>R$ 5.736,48</v>
      </c>
      <c r="G1981" t="str">
        <f>"R$ 11.472,95"</f>
        <v>R$ 11.472,95</v>
      </c>
      <c r="H1981" t="str">
        <f t="shared" si="203"/>
        <v>R$ 0,00</v>
      </c>
      <c r="I1981" t="str">
        <f>"R$ 11.472,95"</f>
        <v>R$ 11.472,95</v>
      </c>
      <c r="J1981" t="str">
        <f>"R$ 8.567,41"</f>
        <v>R$ 8.567,41</v>
      </c>
      <c r="K1981" t="str">
        <f>"R$ 2.905,54"</f>
        <v>R$ 2.905,54</v>
      </c>
    </row>
    <row r="1982" spans="1:11" x14ac:dyDescent="0.25">
      <c r="A1982" t="str">
        <f>"00053538 / 2"</f>
        <v>00053538 / 2</v>
      </c>
      <c r="B1982" t="str">
        <f>"Folha Mensal"</f>
        <v>Folha Mensal</v>
      </c>
      <c r="C1982" t="str">
        <f>"Sonia Regina Begot Risuenho"</f>
        <v>Sonia Regina Begot Risuenho</v>
      </c>
      <c r="D1982" t="str">
        <f>"PROFESSOR NIVEL III"</f>
        <v>PROFESSOR NIVEL III</v>
      </c>
      <c r="E1982" t="str">
        <f t="shared" si="205"/>
        <v>Efetivo-Inativos II-RJUSM</v>
      </c>
      <c r="F1982" t="str">
        <f>"R$ 5.736,48"</f>
        <v>R$ 5.736,48</v>
      </c>
      <c r="G1982" t="str">
        <f>"R$ 11.472,95"</f>
        <v>R$ 11.472,95</v>
      </c>
      <c r="H1982" t="str">
        <f t="shared" si="203"/>
        <v>R$ 0,00</v>
      </c>
      <c r="I1982" t="str">
        <f>"R$ 11.472,95"</f>
        <v>R$ 11.472,95</v>
      </c>
      <c r="J1982" t="str">
        <f>"R$ 2.830,94"</f>
        <v>R$ 2.830,94</v>
      </c>
      <c r="K1982" t="str">
        <f>"R$ 8.642,01"</f>
        <v>R$ 8.642,01</v>
      </c>
    </row>
    <row r="1983" spans="1:11" x14ac:dyDescent="0.25">
      <c r="A1983" t="str">
        <f>"00014630 / 1"</f>
        <v>00014630 / 1</v>
      </c>
      <c r="B1983" t="str">
        <f>"13° Salário Anual"</f>
        <v>13° Salário Anual</v>
      </c>
      <c r="C1983" t="str">
        <f>"Sonia Shirley Sousa Santos"</f>
        <v>Sonia Shirley Sousa Santos</v>
      </c>
      <c r="D1983" t="str">
        <f>"PROFESSOR NIVEL III"</f>
        <v>PROFESSOR NIVEL III</v>
      </c>
      <c r="E1983" t="str">
        <f t="shared" si="205"/>
        <v>Efetivo-Inativos II-RJUSM</v>
      </c>
      <c r="F1983" t="str">
        <f>"R$ 5.895,85"</f>
        <v>R$ 5.895,85</v>
      </c>
      <c r="G1983" t="str">
        <f>"R$ 7.369,81"</f>
        <v>R$ 7.369,81</v>
      </c>
      <c r="H1983" t="str">
        <f t="shared" si="203"/>
        <v>R$ 0,00</v>
      </c>
      <c r="I1983" t="str">
        <f>"R$ 7.369,81"</f>
        <v>R$ 7.369,81</v>
      </c>
      <c r="J1983" t="str">
        <f>"R$ 6.392,83"</f>
        <v>R$ 6.392,83</v>
      </c>
      <c r="K1983" t="str">
        <f>"R$ 976,98"</f>
        <v>R$ 976,98</v>
      </c>
    </row>
    <row r="1984" spans="1:11" x14ac:dyDescent="0.25">
      <c r="A1984" t="str">
        <f>"00014630 / 1"</f>
        <v>00014630 / 1</v>
      </c>
      <c r="B1984" t="str">
        <f>"Folha Mensal"</f>
        <v>Folha Mensal</v>
      </c>
      <c r="C1984" t="str">
        <f>"Sonia Shirley Sousa Santos"</f>
        <v>Sonia Shirley Sousa Santos</v>
      </c>
      <c r="D1984" t="str">
        <f>"PROFESSOR NIVEL III"</f>
        <v>PROFESSOR NIVEL III</v>
      </c>
      <c r="E1984" t="str">
        <f t="shared" si="205"/>
        <v>Efetivo-Inativos II-RJUSM</v>
      </c>
      <c r="F1984" t="str">
        <f>"R$ 5.895,85"</f>
        <v>R$ 5.895,85</v>
      </c>
      <c r="G1984" t="str">
        <f>"R$ 13.265,65"</f>
        <v>R$ 13.265,65</v>
      </c>
      <c r="H1984" t="str">
        <f t="shared" si="203"/>
        <v>R$ 0,00</v>
      </c>
      <c r="I1984" t="str">
        <f>"R$ 13.265,65"</f>
        <v>R$ 13.265,65</v>
      </c>
      <c r="J1984" t="str">
        <f>"R$ 2.343,86"</f>
        <v>R$ 2.343,86</v>
      </c>
      <c r="K1984" t="str">
        <f>"R$ 10.921,79"</f>
        <v>R$ 10.921,79</v>
      </c>
    </row>
    <row r="1985" spans="1:11" x14ac:dyDescent="0.25">
      <c r="A1985" t="str">
        <f>"00031259 / 1"</f>
        <v>00031259 / 1</v>
      </c>
      <c r="B1985" t="str">
        <f>"13° Salário Anual"</f>
        <v>13° Salário Anual</v>
      </c>
      <c r="C1985" t="str">
        <f>"Sonia Suely de Souza Marinho"</f>
        <v>Sonia Suely de Souza Marinho</v>
      </c>
      <c r="D1985" t="str">
        <f>"PROFESSOR NIVEL II"</f>
        <v>PROFESSOR NIVEL II</v>
      </c>
      <c r="E1985" t="str">
        <f t="shared" si="205"/>
        <v>Efetivo-Inativos II-RJUSM</v>
      </c>
      <c r="F1985" t="str">
        <f>"R$ 5.736,46"</f>
        <v>R$ 5.736,46</v>
      </c>
      <c r="G1985" t="str">
        <f>"R$ 7.457,39"</f>
        <v>R$ 7.457,39</v>
      </c>
      <c r="H1985" t="str">
        <f t="shared" ref="H1985:H2016" si="206">"R$ 0,00"</f>
        <v>R$ 0,00</v>
      </c>
      <c r="I1985" t="str">
        <f>"R$ 7.457,39"</f>
        <v>R$ 7.457,39</v>
      </c>
      <c r="J1985" t="str">
        <f>"R$ 5.047,77"</f>
        <v>R$ 5.047,77</v>
      </c>
      <c r="K1985" t="str">
        <f>"R$ 2.409,62"</f>
        <v>R$ 2.409,62</v>
      </c>
    </row>
    <row r="1986" spans="1:11" x14ac:dyDescent="0.25">
      <c r="A1986" t="str">
        <f>"00031259 / 1"</f>
        <v>00031259 / 1</v>
      </c>
      <c r="B1986" t="str">
        <f>"Folha Mensal"</f>
        <v>Folha Mensal</v>
      </c>
      <c r="C1986" t="str">
        <f>"Sonia Suely de Souza Marinho"</f>
        <v>Sonia Suely de Souza Marinho</v>
      </c>
      <c r="D1986" t="str">
        <f>"PROFESSOR NIVEL II"</f>
        <v>PROFESSOR NIVEL II</v>
      </c>
      <c r="E1986" t="str">
        <f t="shared" si="205"/>
        <v>Efetivo-Inativos II-RJUSM</v>
      </c>
      <c r="F1986" t="str">
        <f>"R$ 5.736,46"</f>
        <v>R$ 5.736,46</v>
      </c>
      <c r="G1986" t="str">
        <f>"R$ 7.457,39"</f>
        <v>R$ 7.457,39</v>
      </c>
      <c r="H1986" t="str">
        <f t="shared" si="206"/>
        <v>R$ 0,00</v>
      </c>
      <c r="I1986" t="str">
        <f>"R$ 7.457,39"</f>
        <v>R$ 7.457,39</v>
      </c>
      <c r="J1986" t="str">
        <f>"R$ 3.136,96"</f>
        <v>R$ 3.136,96</v>
      </c>
      <c r="K1986" t="str">
        <f>"R$ 4.320,43"</f>
        <v>R$ 4.320,43</v>
      </c>
    </row>
    <row r="1987" spans="1:11" x14ac:dyDescent="0.25">
      <c r="A1987" t="str">
        <f>"00026280 / 1"</f>
        <v>00026280 / 1</v>
      </c>
      <c r="B1987" t="str">
        <f>"13° Salário Anual"</f>
        <v>13° Salário Anual</v>
      </c>
      <c r="C1987" t="str">
        <f>"Souli de Fatima Maues Bentes"</f>
        <v>Souli de Fatima Maues Bentes</v>
      </c>
      <c r="D1987" t="str">
        <f>"PROFESSOR NIVEL II"</f>
        <v>PROFESSOR NIVEL II</v>
      </c>
      <c r="E1987" t="str">
        <f>"Efetivo-Inativo I- RJUSM"</f>
        <v>Efetivo-Inativo I- RJUSM</v>
      </c>
      <c r="F1987" t="str">
        <f>"R$ 4.143,03"</f>
        <v>R$ 4.143,03</v>
      </c>
      <c r="G1987" t="str">
        <f>"R$ 5.178,78"</f>
        <v>R$ 5.178,78</v>
      </c>
      <c r="H1987" t="str">
        <f t="shared" si="206"/>
        <v>R$ 0,00</v>
      </c>
      <c r="I1987" t="str">
        <f>"R$ 5.178,78"</f>
        <v>R$ 5.178,78</v>
      </c>
      <c r="J1987" t="str">
        <f>"R$ 2.589,39"</f>
        <v>R$ 2.589,39</v>
      </c>
      <c r="K1987" t="str">
        <f>"R$ 2.589,39"</f>
        <v>R$ 2.589,39</v>
      </c>
    </row>
    <row r="1988" spans="1:11" x14ac:dyDescent="0.25">
      <c r="A1988" t="str">
        <f>"00026280 / 1"</f>
        <v>00026280 / 1</v>
      </c>
      <c r="B1988" t="str">
        <f>"Folha Mensal"</f>
        <v>Folha Mensal</v>
      </c>
      <c r="C1988" t="str">
        <f>"Souli de Fatima Maues Bentes"</f>
        <v>Souli de Fatima Maues Bentes</v>
      </c>
      <c r="D1988" t="str">
        <f>"PROFESSOR NIVEL II"</f>
        <v>PROFESSOR NIVEL II</v>
      </c>
      <c r="E1988" t="str">
        <f>"Efetivo-Inativo I- RJUSM"</f>
        <v>Efetivo-Inativo I- RJUSM</v>
      </c>
      <c r="F1988" t="str">
        <f>"R$ 4.143,03"</f>
        <v>R$ 4.143,03</v>
      </c>
      <c r="G1988" t="str">
        <f>"R$ 5.178,78"</f>
        <v>R$ 5.178,78</v>
      </c>
      <c r="H1988" t="str">
        <f t="shared" si="206"/>
        <v>R$ 0,00</v>
      </c>
      <c r="I1988" t="str">
        <f>"R$ 5.178,78"</f>
        <v>R$ 5.178,78</v>
      </c>
      <c r="J1988" t="str">
        <f>"R$ 732,81"</f>
        <v>R$ 732,81</v>
      </c>
      <c r="K1988" t="str">
        <f>"R$ 4.445,97"</f>
        <v>R$ 4.445,97</v>
      </c>
    </row>
    <row r="1989" spans="1:11" x14ac:dyDescent="0.25">
      <c r="A1989" t="str">
        <f>"03640833 / 1"</f>
        <v>03640833 / 1</v>
      </c>
      <c r="B1989" t="str">
        <f>"13° Salário Anual"</f>
        <v>13° Salário Anual</v>
      </c>
      <c r="C1989" t="str">
        <f>"Suellem Cristina Botelho Garcia Souza"</f>
        <v>Suellem Cristina Botelho Garcia Souza</v>
      </c>
      <c r="D1989" t="str">
        <f>"DAS 07"</f>
        <v>DAS 07</v>
      </c>
      <c r="E1989" t="str">
        <f>"Comissionado"</f>
        <v>Comissionado</v>
      </c>
      <c r="F1989" t="str">
        <f>"R$ 3.154,55"</f>
        <v>R$ 3.154,55</v>
      </c>
      <c r="G1989" t="str">
        <f>"R$ 2.891,67"</f>
        <v>R$ 2.891,67</v>
      </c>
      <c r="H1989" t="str">
        <f t="shared" si="206"/>
        <v>R$ 0,00</v>
      </c>
      <c r="I1989" t="str">
        <f>"R$ 2.891,67"</f>
        <v>R$ 2.891,67</v>
      </c>
      <c r="J1989" t="str">
        <f>"R$ 1.764,46"</f>
        <v>R$ 1.764,46</v>
      </c>
      <c r="K1989" t="str">
        <f>"R$ 1.127,21"</f>
        <v>R$ 1.127,21</v>
      </c>
    </row>
    <row r="1990" spans="1:11" x14ac:dyDescent="0.25">
      <c r="A1990" t="str">
        <f>"03640833 / 1"</f>
        <v>03640833 / 1</v>
      </c>
      <c r="B1990" t="str">
        <f>"Folha Mensal"</f>
        <v>Folha Mensal</v>
      </c>
      <c r="C1990" t="str">
        <f>"Suellem Cristina Botelho Garcia Souza"</f>
        <v>Suellem Cristina Botelho Garcia Souza</v>
      </c>
      <c r="D1990" t="str">
        <f>"DAS 07"</f>
        <v>DAS 07</v>
      </c>
      <c r="E1990" t="str">
        <f>"Comissionado"</f>
        <v>Comissionado</v>
      </c>
      <c r="F1990" t="str">
        <f>"R$ 3.154,55"</f>
        <v>R$ 3.154,55</v>
      </c>
      <c r="G1990" t="str">
        <f>"R$ 3.154,55"</f>
        <v>R$ 3.154,55</v>
      </c>
      <c r="H1990" t="str">
        <f t="shared" si="206"/>
        <v>R$ 0,00</v>
      </c>
      <c r="I1990" t="str">
        <f>"R$ 3.154,55"</f>
        <v>R$ 3.154,55</v>
      </c>
      <c r="J1990" t="str">
        <f>"R$ 369,92"</f>
        <v>R$ 369,92</v>
      </c>
      <c r="K1990" t="str">
        <f>"R$ 2.784,63"</f>
        <v>R$ 2.784,63</v>
      </c>
    </row>
    <row r="1991" spans="1:11" x14ac:dyDescent="0.25">
      <c r="A1991" t="str">
        <f>"03640337 / 1"</f>
        <v>03640337 / 1</v>
      </c>
      <c r="B1991" t="str">
        <f>"13° Salário Anual"</f>
        <v>13° Salário Anual</v>
      </c>
      <c r="C1991" t="str">
        <f>"Suter Nunes Brasao"</f>
        <v>Suter Nunes Brasao</v>
      </c>
      <c r="D1991" t="str">
        <f>"PENSIONISTA DE PROFESSOR"</f>
        <v>PENSIONISTA DE PROFESSOR</v>
      </c>
      <c r="E1991" t="str">
        <f>"Pensionista"</f>
        <v>Pensionista</v>
      </c>
      <c r="F1991" t="str">
        <f>"R$ 1.593,46"</f>
        <v>R$ 1.593,46</v>
      </c>
      <c r="G1991" t="str">
        <f>"R$ 1.912,15"</f>
        <v>R$ 1.912,15</v>
      </c>
      <c r="H1991" t="str">
        <f t="shared" si="206"/>
        <v>R$ 0,00</v>
      </c>
      <c r="I1991" t="str">
        <f>"R$ 1.912,15"</f>
        <v>R$ 1.912,15</v>
      </c>
      <c r="J1991" t="str">
        <f>"R$ 956,07"</f>
        <v>R$ 956,07</v>
      </c>
      <c r="K1991" t="str">
        <f>"R$ 956,08"</f>
        <v>R$ 956,08</v>
      </c>
    </row>
    <row r="1992" spans="1:11" x14ac:dyDescent="0.25">
      <c r="A1992" t="str">
        <f>"03640337 / 1"</f>
        <v>03640337 / 1</v>
      </c>
      <c r="B1992" t="str">
        <f>"Folha Mensal"</f>
        <v>Folha Mensal</v>
      </c>
      <c r="C1992" t="str">
        <f>"Suter Nunes Brasao"</f>
        <v>Suter Nunes Brasao</v>
      </c>
      <c r="D1992" t="str">
        <f>"PENSIONISTA DE PROFESSOR"</f>
        <v>PENSIONISTA DE PROFESSOR</v>
      </c>
      <c r="E1992" t="str">
        <f>"Pensionista"</f>
        <v>Pensionista</v>
      </c>
      <c r="F1992" t="str">
        <f>"R$ 1.593,46"</f>
        <v>R$ 1.593,46</v>
      </c>
      <c r="G1992" t="str">
        <f>"R$ 8.222,24"</f>
        <v>R$ 8.222,24</v>
      </c>
      <c r="H1992" t="str">
        <f t="shared" si="206"/>
        <v>R$ 0,00</v>
      </c>
      <c r="I1992" t="str">
        <f>"R$ 8.222,24"</f>
        <v>R$ 8.222,24</v>
      </c>
      <c r="J1992" t="str">
        <f>"R$ 1.083,45"</f>
        <v>R$ 1.083,45</v>
      </c>
      <c r="K1992" t="str">
        <f>"R$ 7.138,79"</f>
        <v>R$ 7.138,79</v>
      </c>
    </row>
    <row r="1993" spans="1:11" x14ac:dyDescent="0.25">
      <c r="A1993" t="str">
        <f>"00069035 / 1"</f>
        <v>00069035 / 1</v>
      </c>
      <c r="B1993" t="str">
        <f>"13° Salário Anual"</f>
        <v>13° Salário Anual</v>
      </c>
      <c r="C1993" t="str">
        <f>"Suzana Alice de Paiva Santos Camejo"</f>
        <v>Suzana Alice de Paiva Santos Camejo</v>
      </c>
      <c r="D1993" t="str">
        <f>"ODONTOLOGO"</f>
        <v>ODONTOLOGO</v>
      </c>
      <c r="E1993" t="str">
        <f>"Efetivo-Inativos II-RJUSM"</f>
        <v>Efetivo-Inativos II-RJUSM</v>
      </c>
      <c r="F1993" t="str">
        <f>"R$ 1.100,00"</f>
        <v>R$ 1.100,00</v>
      </c>
      <c r="G1993" t="str">
        <f>"R$ 1.100,00"</f>
        <v>R$ 1.100,00</v>
      </c>
      <c r="H1993" t="str">
        <f t="shared" si="206"/>
        <v>R$ 0,00</v>
      </c>
      <c r="I1993" t="str">
        <f>"R$ 1.100,00"</f>
        <v>R$ 1.100,00</v>
      </c>
      <c r="J1993" t="str">
        <f>"R$ 550,00"</f>
        <v>R$ 550,00</v>
      </c>
      <c r="K1993" t="str">
        <f>"R$ 550,00"</f>
        <v>R$ 550,00</v>
      </c>
    </row>
    <row r="1994" spans="1:11" x14ac:dyDescent="0.25">
      <c r="A1994" t="str">
        <f>"00069035 / 1"</f>
        <v>00069035 / 1</v>
      </c>
      <c r="B1994" t="str">
        <f>"Folha Mensal"</f>
        <v>Folha Mensal</v>
      </c>
      <c r="C1994" t="str">
        <f>"Suzana Alice de Paiva Santos Camejo"</f>
        <v>Suzana Alice de Paiva Santos Camejo</v>
      </c>
      <c r="D1994" t="str">
        <f>"ODONTOLOGO"</f>
        <v>ODONTOLOGO</v>
      </c>
      <c r="E1994" t="str">
        <f>"Efetivo-Inativos II-RJUSM"</f>
        <v>Efetivo-Inativos II-RJUSM</v>
      </c>
      <c r="F1994" t="str">
        <f>"R$ 1.100,00"</f>
        <v>R$ 1.100,00</v>
      </c>
      <c r="G1994" t="str">
        <f>"R$ 1.100,00"</f>
        <v>R$ 1.100,00</v>
      </c>
      <c r="H1994" t="str">
        <f t="shared" si="206"/>
        <v>R$ 0,00</v>
      </c>
      <c r="I1994" t="str">
        <f>"R$ 1.100,00"</f>
        <v>R$ 1.100,00</v>
      </c>
      <c r="J1994" t="str">
        <f>"R$ 0,00"</f>
        <v>R$ 0,00</v>
      </c>
      <c r="K1994" t="str">
        <f>"R$ 1.100,00"</f>
        <v>R$ 1.100,00</v>
      </c>
    </row>
    <row r="1995" spans="1:11" x14ac:dyDescent="0.25">
      <c r="A1995" t="str">
        <f>"00278106 / 1"</f>
        <v>00278106 / 1</v>
      </c>
      <c r="B1995" t="str">
        <f>"13° Salário Anual"</f>
        <v>13° Salário Anual</v>
      </c>
      <c r="C1995" t="str">
        <f>"Suzana Tiburcia Piedade dos Santos"</f>
        <v>Suzana Tiburcia Piedade dos Santos</v>
      </c>
      <c r="D1995" t="str">
        <f>"PROFESSOR"</f>
        <v>PROFESSOR</v>
      </c>
      <c r="E1995" t="str">
        <f>"Efetivo-Inativo I- RJUSM"</f>
        <v>Efetivo-Inativo I- RJUSM</v>
      </c>
      <c r="F1995" t="str">
        <f>"R$ 2.230,85"</f>
        <v>R$ 2.230,85</v>
      </c>
      <c r="G1995" t="str">
        <f>"R$ 5.019,41"</f>
        <v>R$ 5.019,41</v>
      </c>
      <c r="H1995" t="str">
        <f t="shared" si="206"/>
        <v>R$ 0,00</v>
      </c>
      <c r="I1995" t="str">
        <f>"R$ 5.019,41"</f>
        <v>R$ 5.019,41</v>
      </c>
      <c r="J1995" t="str">
        <f>"R$ 2.509,70"</f>
        <v>R$ 2.509,70</v>
      </c>
      <c r="K1995" t="str">
        <f>"R$ 2.509,71"</f>
        <v>R$ 2.509,71</v>
      </c>
    </row>
    <row r="1996" spans="1:11" x14ac:dyDescent="0.25">
      <c r="A1996" t="str">
        <f>"00278106 / 1"</f>
        <v>00278106 / 1</v>
      </c>
      <c r="B1996" t="str">
        <f>"Folha Mensal"</f>
        <v>Folha Mensal</v>
      </c>
      <c r="C1996" t="str">
        <f>"Suzana Tiburcia Piedade dos Santos"</f>
        <v>Suzana Tiburcia Piedade dos Santos</v>
      </c>
      <c r="D1996" t="str">
        <f>"PROFESSOR"</f>
        <v>PROFESSOR</v>
      </c>
      <c r="E1996" t="str">
        <f>"Efetivo-Inativo I- RJUSM"</f>
        <v>Efetivo-Inativo I- RJUSM</v>
      </c>
      <c r="F1996" t="str">
        <f>"R$ 2.230,85"</f>
        <v>R$ 2.230,85</v>
      </c>
      <c r="G1996" t="str">
        <f>"R$ 5.019,41"</f>
        <v>R$ 5.019,41</v>
      </c>
      <c r="H1996" t="str">
        <f t="shared" si="206"/>
        <v>R$ 0,00</v>
      </c>
      <c r="I1996" t="str">
        <f>"R$ 5.019,41"</f>
        <v>R$ 5.019,41</v>
      </c>
      <c r="J1996" t="str">
        <f>"R$ 698,59"</f>
        <v>R$ 698,59</v>
      </c>
      <c r="K1996" t="str">
        <f>"R$ 4.320,82"</f>
        <v>R$ 4.320,82</v>
      </c>
    </row>
    <row r="1997" spans="1:11" x14ac:dyDescent="0.25">
      <c r="A1997" t="str">
        <f>"00022683 / 1"</f>
        <v>00022683 / 1</v>
      </c>
      <c r="B1997" t="str">
        <f>"13° Salário Anual"</f>
        <v>13° Salário Anual</v>
      </c>
      <c r="C1997" t="str">
        <f>"Suzete Maria Teixeira Lima"</f>
        <v>Suzete Maria Teixeira Lima</v>
      </c>
      <c r="D1997" t="str">
        <f>"INT TEMP CONTRIBUICAO"</f>
        <v>INT TEMP CONTRIBUICAO</v>
      </c>
      <c r="E1997" t="str">
        <f>"Efetivo-Inativos II-RJUSM"</f>
        <v>Efetivo-Inativos II-RJUSM</v>
      </c>
      <c r="F1997" t="str">
        <f>"R$ 1.100,00"</f>
        <v>R$ 1.100,00</v>
      </c>
      <c r="G1997" t="str">
        <f>"R$ 1.430,00"</f>
        <v>R$ 1.430,00</v>
      </c>
      <c r="H1997" t="str">
        <f t="shared" si="206"/>
        <v>R$ 0,00</v>
      </c>
      <c r="I1997" t="str">
        <f>"R$ 1.430,00"</f>
        <v>R$ 1.430,00</v>
      </c>
      <c r="J1997" t="str">
        <f>"R$ 715,00"</f>
        <v>R$ 715,00</v>
      </c>
      <c r="K1997" t="str">
        <f>"R$ 715,00"</f>
        <v>R$ 715,00</v>
      </c>
    </row>
    <row r="1998" spans="1:11" x14ac:dyDescent="0.25">
      <c r="A1998" t="str">
        <f>"00022683 / 1"</f>
        <v>00022683 / 1</v>
      </c>
      <c r="B1998" t="str">
        <f>"Folha Mensal"</f>
        <v>Folha Mensal</v>
      </c>
      <c r="C1998" t="str">
        <f>"Suzete Maria Teixeira Lima"</f>
        <v>Suzete Maria Teixeira Lima</v>
      </c>
      <c r="D1998" t="str">
        <f>"INT TEMP CONTRIBUICAO"</f>
        <v>INT TEMP CONTRIBUICAO</v>
      </c>
      <c r="E1998" t="str">
        <f>"Efetivo-Inativos II-RJUSM"</f>
        <v>Efetivo-Inativos II-RJUSM</v>
      </c>
      <c r="F1998" t="str">
        <f>"R$ 1.100,00"</f>
        <v>R$ 1.100,00</v>
      </c>
      <c r="G1998" t="str">
        <f>"R$ 1.430,00"</f>
        <v>R$ 1.430,00</v>
      </c>
      <c r="H1998" t="str">
        <f t="shared" si="206"/>
        <v>R$ 0,00</v>
      </c>
      <c r="I1998" t="str">
        <f>"R$ 1.430,00"</f>
        <v>R$ 1.430,00</v>
      </c>
      <c r="J1998" t="str">
        <f>"R$ 364,42"</f>
        <v>R$ 364,42</v>
      </c>
      <c r="K1998" t="str">
        <f>"R$ 1.065,58"</f>
        <v>R$ 1.065,58</v>
      </c>
    </row>
    <row r="1999" spans="1:11" x14ac:dyDescent="0.25">
      <c r="A1999" t="str">
        <f>"03640540 / 1"</f>
        <v>03640540 / 1</v>
      </c>
      <c r="B1999" t="str">
        <f>"13° Salário Anual"</f>
        <v>13° Salário Anual</v>
      </c>
      <c r="C1999" t="str">
        <f>"Tamara Larysse Reis de Oliveira"</f>
        <v>Tamara Larysse Reis de Oliveira</v>
      </c>
      <c r="D1999" t="str">
        <f>"DAS 08"</f>
        <v>DAS 08</v>
      </c>
      <c r="E1999" t="str">
        <f>"Comissionado"</f>
        <v>Comissionado</v>
      </c>
      <c r="F1999" t="str">
        <f>"R$ 4.200,00"</f>
        <v>R$ 4.200,00</v>
      </c>
      <c r="G1999" t="str">
        <f>"R$ 4.200,00"</f>
        <v>R$ 4.200,00</v>
      </c>
      <c r="H1999" t="str">
        <f t="shared" si="206"/>
        <v>R$ 0,00</v>
      </c>
      <c r="I1999" t="str">
        <f>"R$ 4.200,00"</f>
        <v>R$ 4.200,00</v>
      </c>
      <c r="J1999" t="str">
        <f>"R$ 2.749,30"</f>
        <v>R$ 2.749,30</v>
      </c>
      <c r="K1999" t="str">
        <f>"R$ 1.450,70"</f>
        <v>R$ 1.450,70</v>
      </c>
    </row>
    <row r="2000" spans="1:11" x14ac:dyDescent="0.25">
      <c r="A2000" t="str">
        <f>"03640540 / 1"</f>
        <v>03640540 / 1</v>
      </c>
      <c r="B2000" t="str">
        <f>"Folha Mensal"</f>
        <v>Folha Mensal</v>
      </c>
      <c r="C2000" t="str">
        <f>"Tamara Larysse Reis de Oliveira"</f>
        <v>Tamara Larysse Reis de Oliveira</v>
      </c>
      <c r="D2000" t="str">
        <f>"DAS 08"</f>
        <v>DAS 08</v>
      </c>
      <c r="E2000" t="str">
        <f>"Comissionado"</f>
        <v>Comissionado</v>
      </c>
      <c r="F2000" t="str">
        <f>"R$ 4.200,00"</f>
        <v>R$ 4.200,00</v>
      </c>
      <c r="G2000" t="str">
        <f>"R$ 4.200,00"</f>
        <v>R$ 4.200,00</v>
      </c>
      <c r="H2000" t="str">
        <f t="shared" si="206"/>
        <v>R$ 0,00</v>
      </c>
      <c r="I2000" t="str">
        <f>"R$ 4.200,00"</f>
        <v>R$ 4.200,00</v>
      </c>
      <c r="J2000" t="str">
        <f>"R$ 649,30"</f>
        <v>R$ 649,30</v>
      </c>
      <c r="K2000" t="str">
        <f>"R$ 3.550,70"</f>
        <v>R$ 3.550,70</v>
      </c>
    </row>
    <row r="2001" spans="1:11" x14ac:dyDescent="0.25">
      <c r="A2001" t="str">
        <f>"00053511 / 1"</f>
        <v>00053511 / 1</v>
      </c>
      <c r="B2001" t="str">
        <f>"13° Salário Anual"</f>
        <v>13° Salário Anual</v>
      </c>
      <c r="C2001" t="str">
        <f>"Tanhuser dos Santos"</f>
        <v>Tanhuser dos Santos</v>
      </c>
      <c r="D2001" t="str">
        <f>"PROFESSOR"</f>
        <v>PROFESSOR</v>
      </c>
      <c r="E2001" t="str">
        <f>"Efetivo-Inativo I- RJUSM"</f>
        <v>Efetivo-Inativo I- RJUSM</v>
      </c>
      <c r="F2001" t="str">
        <f>"R$ 2.151,18"</f>
        <v>R$ 2.151,18</v>
      </c>
      <c r="G2001" t="str">
        <f>"R$ 3.613,97"</f>
        <v>R$ 3.613,97</v>
      </c>
      <c r="H2001" t="str">
        <f t="shared" si="206"/>
        <v>R$ 0,00</v>
      </c>
      <c r="I2001" t="str">
        <f>"R$ 3.613,97"</f>
        <v>R$ 3.613,97</v>
      </c>
      <c r="J2001" t="str">
        <f>"R$ 1.720,94"</f>
        <v>R$ 1.720,94</v>
      </c>
      <c r="K2001" t="str">
        <f>"R$ 1.893,03"</f>
        <v>R$ 1.893,03</v>
      </c>
    </row>
    <row r="2002" spans="1:11" x14ac:dyDescent="0.25">
      <c r="A2002" t="str">
        <f>"00053511 / 1"</f>
        <v>00053511 / 1</v>
      </c>
      <c r="B2002" t="str">
        <f>"Folha Mensal"</f>
        <v>Folha Mensal</v>
      </c>
      <c r="C2002" t="str">
        <f>"Tanhuser dos Santos"</f>
        <v>Tanhuser dos Santos</v>
      </c>
      <c r="D2002" t="str">
        <f>"PROFESSOR"</f>
        <v>PROFESSOR</v>
      </c>
      <c r="E2002" t="str">
        <f>"Efetivo-Inativo I- RJUSM"</f>
        <v>Efetivo-Inativo I- RJUSM</v>
      </c>
      <c r="F2002" t="str">
        <f>"R$ 2.151,18"</f>
        <v>R$ 2.151,18</v>
      </c>
      <c r="G2002" t="str">
        <f>"R$ 3.613,97"</f>
        <v>R$ 3.613,97</v>
      </c>
      <c r="H2002" t="str">
        <f t="shared" si="206"/>
        <v>R$ 0,00</v>
      </c>
      <c r="I2002" t="str">
        <f>"R$ 3.613,97"</f>
        <v>R$ 3.613,97</v>
      </c>
      <c r="J2002" t="str">
        <f>"R$ 564,79"</f>
        <v>R$ 564,79</v>
      </c>
      <c r="K2002" t="str">
        <f>"R$ 3.049,18"</f>
        <v>R$ 3.049,18</v>
      </c>
    </row>
    <row r="2003" spans="1:11" x14ac:dyDescent="0.25">
      <c r="A2003" t="str">
        <f>"00025178 / 2"</f>
        <v>00025178 / 2</v>
      </c>
      <c r="B2003" t="str">
        <f>"13° Salário Anual"</f>
        <v>13° Salário Anual</v>
      </c>
      <c r="C2003" t="str">
        <f>"Tania Maria Ferreira e Souza"</f>
        <v>Tania Maria Ferreira e Souza</v>
      </c>
      <c r="D2003" t="str">
        <f>"INT TEMP CONTRIBUICAO"</f>
        <v>INT TEMP CONTRIBUICAO</v>
      </c>
      <c r="E2003" t="str">
        <f t="shared" ref="E2003:E2008" si="207">"Efetivo-Inativos II-RJUSM"</f>
        <v>Efetivo-Inativos II-RJUSM</v>
      </c>
      <c r="F2003" t="str">
        <f>"R$ 1.100,00"</f>
        <v>R$ 1.100,00</v>
      </c>
      <c r="G2003" t="str">
        <f>"R$ 1.430,00"</f>
        <v>R$ 1.430,00</v>
      </c>
      <c r="H2003" t="str">
        <f t="shared" si="206"/>
        <v>R$ 0,00</v>
      </c>
      <c r="I2003" t="str">
        <f>"R$ 1.430,00"</f>
        <v>R$ 1.430,00</v>
      </c>
      <c r="J2003" t="str">
        <f>"R$ 715,00"</f>
        <v>R$ 715,00</v>
      </c>
      <c r="K2003" t="str">
        <f>"R$ 715,00"</f>
        <v>R$ 715,00</v>
      </c>
    </row>
    <row r="2004" spans="1:11" x14ac:dyDescent="0.25">
      <c r="A2004" t="str">
        <f>"00025178 / 2"</f>
        <v>00025178 / 2</v>
      </c>
      <c r="B2004" t="str">
        <f>"Folha Mensal"</f>
        <v>Folha Mensal</v>
      </c>
      <c r="C2004" t="str">
        <f>"Tania Maria Ferreira e Souza"</f>
        <v>Tania Maria Ferreira e Souza</v>
      </c>
      <c r="D2004" t="str">
        <f>"INT TEMP CONTRIBUICAO"</f>
        <v>INT TEMP CONTRIBUICAO</v>
      </c>
      <c r="E2004" t="str">
        <f t="shared" si="207"/>
        <v>Efetivo-Inativos II-RJUSM</v>
      </c>
      <c r="F2004" t="str">
        <f>"R$ 1.100,00"</f>
        <v>R$ 1.100,00</v>
      </c>
      <c r="G2004" t="str">
        <f>"R$ 1.430,00"</f>
        <v>R$ 1.430,00</v>
      </c>
      <c r="H2004" t="str">
        <f t="shared" si="206"/>
        <v>R$ 0,00</v>
      </c>
      <c r="I2004" t="str">
        <f>"R$ 1.430,00"</f>
        <v>R$ 1.430,00</v>
      </c>
      <c r="J2004" t="str">
        <f>"R$ 340,81"</f>
        <v>R$ 340,81</v>
      </c>
      <c r="K2004" t="str">
        <f>"R$ 1.089,19"</f>
        <v>R$ 1.089,19</v>
      </c>
    </row>
    <row r="2005" spans="1:11" x14ac:dyDescent="0.25">
      <c r="A2005" t="str">
        <f>"00010073 / 1"</f>
        <v>00010073 / 1</v>
      </c>
      <c r="B2005" t="str">
        <f>"13° Salário Anual"</f>
        <v>13° Salário Anual</v>
      </c>
      <c r="C2005" t="str">
        <f>"Telma Cristina Silva Ribeiro Mota"</f>
        <v>Telma Cristina Silva Ribeiro Mota</v>
      </c>
      <c r="D2005" t="str">
        <f>"PROFESSOR NIVEL III"</f>
        <v>PROFESSOR NIVEL III</v>
      </c>
      <c r="E2005" t="str">
        <f t="shared" si="207"/>
        <v>Efetivo-Inativos II-RJUSM</v>
      </c>
      <c r="F2005" t="str">
        <f>"R$ 5.895,88"</f>
        <v>R$ 5.895,88</v>
      </c>
      <c r="G2005" t="str">
        <f>"R$ 7.664,64"</f>
        <v>R$ 7.664,64</v>
      </c>
      <c r="H2005" t="str">
        <f t="shared" si="206"/>
        <v>R$ 0,00</v>
      </c>
      <c r="I2005" t="str">
        <f>"R$ 7.664,64"</f>
        <v>R$ 7.664,64</v>
      </c>
      <c r="J2005" t="str">
        <f>"R$ 5.125,16"</f>
        <v>R$ 5.125,16</v>
      </c>
      <c r="K2005" t="str">
        <f>"R$ 2.539,48"</f>
        <v>R$ 2.539,48</v>
      </c>
    </row>
    <row r="2006" spans="1:11" x14ac:dyDescent="0.25">
      <c r="A2006" t="str">
        <f>"00010073 / 1"</f>
        <v>00010073 / 1</v>
      </c>
      <c r="B2006" t="str">
        <f>"Folha Mensal"</f>
        <v>Folha Mensal</v>
      </c>
      <c r="C2006" t="str">
        <f>"Telma Cristina Silva Ribeiro Mota"</f>
        <v>Telma Cristina Silva Ribeiro Mota</v>
      </c>
      <c r="D2006" t="str">
        <f>"PROFESSOR NIVEL III"</f>
        <v>PROFESSOR NIVEL III</v>
      </c>
      <c r="E2006" t="str">
        <f t="shared" si="207"/>
        <v>Efetivo-Inativos II-RJUSM</v>
      </c>
      <c r="F2006" t="str">
        <f>"R$ 5.895,88"</f>
        <v>R$ 5.895,88</v>
      </c>
      <c r="G2006" t="str">
        <f>"R$ 7.664,64"</f>
        <v>R$ 7.664,64</v>
      </c>
      <c r="H2006" t="str">
        <f t="shared" si="206"/>
        <v>R$ 0,00</v>
      </c>
      <c r="I2006" t="str">
        <f>"R$ 7.664,64"</f>
        <v>R$ 7.664,64</v>
      </c>
      <c r="J2006" t="str">
        <f>"R$ 1.292,84"</f>
        <v>R$ 1.292,84</v>
      </c>
      <c r="K2006" t="str">
        <f>"R$ 6.371,80"</f>
        <v>R$ 6.371,80</v>
      </c>
    </row>
    <row r="2007" spans="1:11" x14ac:dyDescent="0.25">
      <c r="A2007" t="str">
        <f>"00006971 / 2"</f>
        <v>00006971 / 2</v>
      </c>
      <c r="B2007" t="str">
        <f>"13° Salário Anual"</f>
        <v>13° Salário Anual</v>
      </c>
      <c r="C2007" t="str">
        <f>"Telma Maria Correa Borcem"</f>
        <v>Telma Maria Correa Borcem</v>
      </c>
      <c r="D2007" t="str">
        <f>"PROFESSOR NIVEL II"</f>
        <v>PROFESSOR NIVEL II</v>
      </c>
      <c r="E2007" t="str">
        <f t="shared" si="207"/>
        <v>Efetivo-Inativos II-RJUSM</v>
      </c>
      <c r="F2007" t="str">
        <f>"R$ 4.780,42"</f>
        <v>R$ 4.780,42</v>
      </c>
      <c r="G2007" t="str">
        <f>"R$ 6.214,54"</f>
        <v>R$ 6.214,54</v>
      </c>
      <c r="H2007" t="str">
        <f t="shared" si="206"/>
        <v>R$ 0,00</v>
      </c>
      <c r="I2007" t="str">
        <f>"R$ 6.214,54"</f>
        <v>R$ 6.214,54</v>
      </c>
      <c r="J2007" t="str">
        <f>"R$ 3.906,28"</f>
        <v>R$ 3.906,28</v>
      </c>
      <c r="K2007" t="str">
        <f>"R$ 2.308,26"</f>
        <v>R$ 2.308,26</v>
      </c>
    </row>
    <row r="2008" spans="1:11" x14ac:dyDescent="0.25">
      <c r="A2008" t="str">
        <f>"00006971 / 2"</f>
        <v>00006971 / 2</v>
      </c>
      <c r="B2008" t="str">
        <f>"Folha Mensal"</f>
        <v>Folha Mensal</v>
      </c>
      <c r="C2008" t="str">
        <f>"Telma Maria Correa Borcem"</f>
        <v>Telma Maria Correa Borcem</v>
      </c>
      <c r="D2008" t="str">
        <f>"PROFESSOR NIVEL II"</f>
        <v>PROFESSOR NIVEL II</v>
      </c>
      <c r="E2008" t="str">
        <f t="shared" si="207"/>
        <v>Efetivo-Inativos II-RJUSM</v>
      </c>
      <c r="F2008" t="str">
        <f>"R$ 4.780,42"</f>
        <v>R$ 4.780,42</v>
      </c>
      <c r="G2008" t="str">
        <f>"R$ 6.214,54"</f>
        <v>R$ 6.214,54</v>
      </c>
      <c r="H2008" t="str">
        <f t="shared" si="206"/>
        <v>R$ 0,00</v>
      </c>
      <c r="I2008" t="str">
        <f>"R$ 6.214,54"</f>
        <v>R$ 6.214,54</v>
      </c>
      <c r="J2008" t="str">
        <f>"R$ 2.607,77"</f>
        <v>R$ 2.607,77</v>
      </c>
      <c r="K2008" t="str">
        <f>"R$ 3.606,77"</f>
        <v>R$ 3.606,77</v>
      </c>
    </row>
    <row r="2009" spans="1:11" x14ac:dyDescent="0.25">
      <c r="A2009" t="str">
        <f>"00027065 / 1"</f>
        <v>00027065 / 1</v>
      </c>
      <c r="B2009" t="str">
        <f>"13° Salário Anual"</f>
        <v>13° Salário Anual</v>
      </c>
      <c r="C2009" t="str">
        <f>"Teodora Jansen de Lira"</f>
        <v>Teodora Jansen de Lira</v>
      </c>
      <c r="D2009" t="str">
        <f>"PROFESSOR"</f>
        <v>PROFESSOR</v>
      </c>
      <c r="E2009" t="str">
        <f>"Efetivo-Inativo I- RJUSM"</f>
        <v>Efetivo-Inativo I- RJUSM</v>
      </c>
      <c r="F2009" t="str">
        <f>"R$ 1.593,46"</f>
        <v>R$ 1.593,46</v>
      </c>
      <c r="G2009" t="str">
        <f>"R$ 1.912,15"</f>
        <v>R$ 1.912,15</v>
      </c>
      <c r="H2009" t="str">
        <f t="shared" si="206"/>
        <v>R$ 0,00</v>
      </c>
      <c r="I2009" t="str">
        <f>"R$ 1.912,15"</f>
        <v>R$ 1.912,15</v>
      </c>
      <c r="J2009" t="str">
        <f>"R$ 956,07"</f>
        <v>R$ 956,07</v>
      </c>
      <c r="K2009" t="str">
        <f>"R$ 956,08"</f>
        <v>R$ 956,08</v>
      </c>
    </row>
    <row r="2010" spans="1:11" x14ac:dyDescent="0.25">
      <c r="A2010" t="str">
        <f>"00027065 / 1"</f>
        <v>00027065 / 1</v>
      </c>
      <c r="B2010" t="str">
        <f>"Folha Mensal"</f>
        <v>Folha Mensal</v>
      </c>
      <c r="C2010" t="str">
        <f>"Teodora Jansen de Lira"</f>
        <v>Teodora Jansen de Lira</v>
      </c>
      <c r="D2010" t="str">
        <f>"PROFESSOR"</f>
        <v>PROFESSOR</v>
      </c>
      <c r="E2010" t="str">
        <f>"Efetivo-Inativo I- RJUSM"</f>
        <v>Efetivo-Inativo I- RJUSM</v>
      </c>
      <c r="F2010" t="str">
        <f>"R$ 1.593,46"</f>
        <v>R$ 1.593,46</v>
      </c>
      <c r="G2010" t="str">
        <f>"R$ 1.912,15"</f>
        <v>R$ 1.912,15</v>
      </c>
      <c r="H2010" t="str">
        <f t="shared" si="206"/>
        <v>R$ 0,00</v>
      </c>
      <c r="I2010" t="str">
        <f>"R$ 1.912,15"</f>
        <v>R$ 1.912,15</v>
      </c>
      <c r="J2010" t="str">
        <f>"R$ 0,00"</f>
        <v>R$ 0,00</v>
      </c>
      <c r="K2010" t="str">
        <f>"R$ 1.912,15"</f>
        <v>R$ 1.912,15</v>
      </c>
    </row>
    <row r="2011" spans="1:11" x14ac:dyDescent="0.25">
      <c r="A2011" t="str">
        <f>"00054283 / 2"</f>
        <v>00054283 / 2</v>
      </c>
      <c r="B2011" t="str">
        <f>"13° Salário Anual"</f>
        <v>13° Salário Anual</v>
      </c>
      <c r="C2011" t="str">
        <f>"Teolga Araujo Brasil"</f>
        <v>Teolga Araujo Brasil</v>
      </c>
      <c r="D2011" t="str">
        <f>"PROFESSOR NIVEL II"</f>
        <v>PROFESSOR NIVEL II</v>
      </c>
      <c r="E2011" t="str">
        <f t="shared" ref="E2011:E2016" si="208">"Efetivo-Inativos II-RJUSM"</f>
        <v>Efetivo-Inativos II-RJUSM</v>
      </c>
      <c r="F2011" t="str">
        <f>"R$ 5.258,43"</f>
        <v>R$ 5.258,43</v>
      </c>
      <c r="G2011" t="str">
        <f>"R$ 6.310,11"</f>
        <v>R$ 6.310,11</v>
      </c>
      <c r="H2011" t="str">
        <f t="shared" si="206"/>
        <v>R$ 0,00</v>
      </c>
      <c r="I2011" t="str">
        <f>"R$ 6.310,11"</f>
        <v>R$ 6.310,11</v>
      </c>
      <c r="J2011" t="str">
        <f>"R$ 3.184,31"</f>
        <v>R$ 3.184,31</v>
      </c>
      <c r="K2011" t="str">
        <f>"R$ 3.125,80"</f>
        <v>R$ 3.125,80</v>
      </c>
    </row>
    <row r="2012" spans="1:11" x14ac:dyDescent="0.25">
      <c r="A2012" t="str">
        <f>"00054283 / 2"</f>
        <v>00054283 / 2</v>
      </c>
      <c r="B2012" t="str">
        <f>"Folha Mensal"</f>
        <v>Folha Mensal</v>
      </c>
      <c r="C2012" t="str">
        <f>"Teolga Araujo Brasil"</f>
        <v>Teolga Araujo Brasil</v>
      </c>
      <c r="D2012" t="str">
        <f>"PROFESSOR NIVEL II"</f>
        <v>PROFESSOR NIVEL II</v>
      </c>
      <c r="E2012" t="str">
        <f t="shared" si="208"/>
        <v>Efetivo-Inativos II-RJUSM</v>
      </c>
      <c r="F2012" t="str">
        <f>"R$ 5.258,43"</f>
        <v>R$ 5.258,43</v>
      </c>
      <c r="G2012" t="str">
        <f>"R$ 6.310,11"</f>
        <v>R$ 6.310,11</v>
      </c>
      <c r="H2012" t="str">
        <f t="shared" si="206"/>
        <v>R$ 0,00</v>
      </c>
      <c r="I2012" t="str">
        <f>"R$ 6.310,11"</f>
        <v>R$ 6.310,11</v>
      </c>
      <c r="J2012" t="str">
        <f>"R$ 838,80"</f>
        <v>R$ 838,80</v>
      </c>
      <c r="K2012" t="str">
        <f>"R$ 5.471,31"</f>
        <v>R$ 5.471,31</v>
      </c>
    </row>
    <row r="2013" spans="1:11" x14ac:dyDescent="0.25">
      <c r="A2013" t="str">
        <f>"00057924 / 1"</f>
        <v>00057924 / 1</v>
      </c>
      <c r="B2013" t="str">
        <f>"13° Salário Anual"</f>
        <v>13° Salário Anual</v>
      </c>
      <c r="C2013" t="str">
        <f>"Teresa de Moraes Gonzaga"</f>
        <v>Teresa de Moraes Gonzaga</v>
      </c>
      <c r="D2013" t="str">
        <f>"PROFESSOR NIVEL III"</f>
        <v>PROFESSOR NIVEL III</v>
      </c>
      <c r="E2013" t="str">
        <f t="shared" si="208"/>
        <v>Efetivo-Inativos II-RJUSM</v>
      </c>
      <c r="F2013" t="str">
        <f>"R$ 5.417,81"</f>
        <v>R$ 5.417,81</v>
      </c>
      <c r="G2013" t="str">
        <f>"R$ 6.501,37"</f>
        <v>R$ 6.501,37</v>
      </c>
      <c r="H2013" t="str">
        <f t="shared" si="206"/>
        <v>R$ 0,00</v>
      </c>
      <c r="I2013" t="str">
        <f>"R$ 6.501,37"</f>
        <v>R$ 6.501,37</v>
      </c>
      <c r="J2013" t="str">
        <f>"R$ 4.209,82"</f>
        <v>R$ 4.209,82</v>
      </c>
      <c r="K2013" t="str">
        <f>"R$ 2.291,55"</f>
        <v>R$ 2.291,55</v>
      </c>
    </row>
    <row r="2014" spans="1:11" x14ac:dyDescent="0.25">
      <c r="A2014" t="str">
        <f>"00057924 / 1"</f>
        <v>00057924 / 1</v>
      </c>
      <c r="B2014" t="str">
        <f>"Folha Mensal"</f>
        <v>Folha Mensal</v>
      </c>
      <c r="C2014" t="str">
        <f>"Teresa de Moraes Gonzaga"</f>
        <v>Teresa de Moraes Gonzaga</v>
      </c>
      <c r="D2014" t="str">
        <f>"PROFESSOR NIVEL III"</f>
        <v>PROFESSOR NIVEL III</v>
      </c>
      <c r="E2014" t="str">
        <f t="shared" si="208"/>
        <v>Efetivo-Inativos II-RJUSM</v>
      </c>
      <c r="F2014" t="str">
        <f>"R$ 5.417,81"</f>
        <v>R$ 5.417,81</v>
      </c>
      <c r="G2014" t="str">
        <f>"R$ 6.501,37"</f>
        <v>R$ 6.501,37</v>
      </c>
      <c r="H2014" t="str">
        <f t="shared" si="206"/>
        <v>R$ 0,00</v>
      </c>
      <c r="I2014" t="str">
        <f>"R$ 6.501,37"</f>
        <v>R$ 6.501,37</v>
      </c>
      <c r="J2014" t="str">
        <f>"R$ 2.050,30"</f>
        <v>R$ 2.050,30</v>
      </c>
      <c r="K2014" t="str">
        <f>"R$ 4.451,07"</f>
        <v>R$ 4.451,07</v>
      </c>
    </row>
    <row r="2015" spans="1:11" x14ac:dyDescent="0.25">
      <c r="A2015" t="str">
        <f>"00012068 / 1"</f>
        <v>00012068 / 1</v>
      </c>
      <c r="B2015" t="str">
        <f>"13° Salário Anual"</f>
        <v>13° Salário Anual</v>
      </c>
      <c r="C2015" t="str">
        <f>"Teresinha Santa Brigida dos Reis"</f>
        <v>Teresinha Santa Brigida dos Reis</v>
      </c>
      <c r="D2015" t="str">
        <f>"PROFESSOR NIVEL II"</f>
        <v>PROFESSOR NIVEL II</v>
      </c>
      <c r="E2015" t="str">
        <f t="shared" si="208"/>
        <v>Efetivo-Inativos II-RJUSM</v>
      </c>
      <c r="F2015" t="str">
        <f>"R$ 5.417,81"</f>
        <v>R$ 5.417,81</v>
      </c>
      <c r="G2015" t="str">
        <f>"R$ 6.772,26"</f>
        <v>R$ 6.772,26</v>
      </c>
      <c r="H2015" t="str">
        <f t="shared" si="206"/>
        <v>R$ 0,00</v>
      </c>
      <c r="I2015" t="str">
        <f>"R$ 6.772,26"</f>
        <v>R$ 6.772,26</v>
      </c>
      <c r="J2015" t="str">
        <f>"R$ 4.395,12"</f>
        <v>R$ 4.395,12</v>
      </c>
      <c r="K2015" t="str">
        <f>"R$ 2.377,14"</f>
        <v>R$ 2.377,14</v>
      </c>
    </row>
    <row r="2016" spans="1:11" x14ac:dyDescent="0.25">
      <c r="A2016" t="str">
        <f>"00012068 / 1"</f>
        <v>00012068 / 1</v>
      </c>
      <c r="B2016" t="str">
        <f>"Folha Mensal"</f>
        <v>Folha Mensal</v>
      </c>
      <c r="C2016" t="str">
        <f>"Teresinha Santa Brigida dos Reis"</f>
        <v>Teresinha Santa Brigida dos Reis</v>
      </c>
      <c r="D2016" t="str">
        <f>"PROFESSOR NIVEL II"</f>
        <v>PROFESSOR NIVEL II</v>
      </c>
      <c r="E2016" t="str">
        <f t="shared" si="208"/>
        <v>Efetivo-Inativos II-RJUSM</v>
      </c>
      <c r="F2016" t="str">
        <f>"R$ 5.417,81"</f>
        <v>R$ 5.417,81</v>
      </c>
      <c r="G2016" t="str">
        <f>"R$ 6.772,26"</f>
        <v>R$ 6.772,26</v>
      </c>
      <c r="H2016" t="str">
        <f t="shared" si="206"/>
        <v>R$ 0,00</v>
      </c>
      <c r="I2016" t="str">
        <f>"R$ 6.772,26"</f>
        <v>R$ 6.772,26</v>
      </c>
      <c r="J2016" t="str">
        <f>"R$ 2.174,29"</f>
        <v>R$ 2.174,29</v>
      </c>
      <c r="K2016" t="str">
        <f>"R$ 4.597,97"</f>
        <v>R$ 4.597,97</v>
      </c>
    </row>
    <row r="2017" spans="1:11" x14ac:dyDescent="0.25">
      <c r="A2017" t="str">
        <f>"00032786 / 1"</f>
        <v>00032786 / 1</v>
      </c>
      <c r="B2017" t="str">
        <f>"13° Salário Anual"</f>
        <v>13° Salário Anual</v>
      </c>
      <c r="C2017" t="str">
        <f>"Tereza Alice Paiva Ferreira"</f>
        <v>Tereza Alice Paiva Ferreira</v>
      </c>
      <c r="D2017" t="str">
        <f>"PROFESSOR PEDAGOGICO"</f>
        <v>PROFESSOR PEDAGOGICO</v>
      </c>
      <c r="E2017" t="str">
        <f>"Efetivo-Inativo I- RJUSM"</f>
        <v>Efetivo-Inativo I- RJUSM</v>
      </c>
      <c r="F2017" t="str">
        <f>"R$ 1.697,05"</f>
        <v>R$ 1.697,05</v>
      </c>
      <c r="G2017" t="str">
        <f>"R$ 2.121,31"</f>
        <v>R$ 2.121,31</v>
      </c>
      <c r="H2017" t="str">
        <f t="shared" ref="H2017:H2048" si="209">"R$ 0,00"</f>
        <v>R$ 0,00</v>
      </c>
      <c r="I2017" t="str">
        <f>"R$ 2.121,31"</f>
        <v>R$ 2.121,31</v>
      </c>
      <c r="J2017" t="str">
        <f>"R$ 1.060,65"</f>
        <v>R$ 1.060,65</v>
      </c>
      <c r="K2017" t="str">
        <f>"R$ 1.060,66"</f>
        <v>R$ 1.060,66</v>
      </c>
    </row>
    <row r="2018" spans="1:11" x14ac:dyDescent="0.25">
      <c r="A2018" t="str">
        <f>"00032786 / 1"</f>
        <v>00032786 / 1</v>
      </c>
      <c r="B2018" t="str">
        <f>"Folha Mensal"</f>
        <v>Folha Mensal</v>
      </c>
      <c r="C2018" t="str">
        <f>"Tereza Alice Paiva Ferreira"</f>
        <v>Tereza Alice Paiva Ferreira</v>
      </c>
      <c r="D2018" t="str">
        <f>"PROFESSOR PEDAGOGICO"</f>
        <v>PROFESSOR PEDAGOGICO</v>
      </c>
      <c r="E2018" t="str">
        <f>"Efetivo-Inativo I- RJUSM"</f>
        <v>Efetivo-Inativo I- RJUSM</v>
      </c>
      <c r="F2018" t="str">
        <f>"R$ 1.697,05"</f>
        <v>R$ 1.697,05</v>
      </c>
      <c r="G2018" t="str">
        <f>"R$ 2.582,60"</f>
        <v>R$ 2.582,60</v>
      </c>
      <c r="H2018" t="str">
        <f t="shared" si="209"/>
        <v>R$ 0,00</v>
      </c>
      <c r="I2018" t="str">
        <f>"R$ 2.582,60"</f>
        <v>R$ 2.582,60</v>
      </c>
      <c r="J2018" t="str">
        <f>"R$ 493,44"</f>
        <v>R$ 493,44</v>
      </c>
      <c r="K2018" t="str">
        <f>"R$ 2.089,16"</f>
        <v>R$ 2.089,16</v>
      </c>
    </row>
    <row r="2019" spans="1:11" x14ac:dyDescent="0.25">
      <c r="A2019" t="str">
        <f>"03640140 / 1"</f>
        <v>03640140 / 1</v>
      </c>
      <c r="B2019" t="str">
        <f>"13° Salário Anual"</f>
        <v>13° Salário Anual</v>
      </c>
      <c r="C2019" t="str">
        <f>"Tereza Costa de Jesus Teixeira"</f>
        <v>Tereza Costa de Jesus Teixeira</v>
      </c>
      <c r="D2019" t="str">
        <f>"PENSIONISTA"</f>
        <v>PENSIONISTA</v>
      </c>
      <c r="E2019" t="str">
        <f>"Pensionista"</f>
        <v>Pensionista</v>
      </c>
      <c r="F2019" t="str">
        <f>"R$ 1.400,00"</f>
        <v>R$ 1.400,00</v>
      </c>
      <c r="G2019" t="str">
        <f>"R$ 1.470,00"</f>
        <v>R$ 1.470,00</v>
      </c>
      <c r="H2019" t="str">
        <f t="shared" si="209"/>
        <v>R$ 0,00</v>
      </c>
      <c r="I2019" t="str">
        <f>"R$ 1.470,00"</f>
        <v>R$ 1.470,00</v>
      </c>
      <c r="J2019" t="str">
        <f>"R$ 735,00"</f>
        <v>R$ 735,00</v>
      </c>
      <c r="K2019" t="str">
        <f>"R$ 735,00"</f>
        <v>R$ 735,00</v>
      </c>
    </row>
    <row r="2020" spans="1:11" x14ac:dyDescent="0.25">
      <c r="A2020" t="str">
        <f>"03640140 / 1"</f>
        <v>03640140 / 1</v>
      </c>
      <c r="B2020" t="str">
        <f>"Folha Mensal"</f>
        <v>Folha Mensal</v>
      </c>
      <c r="C2020" t="str">
        <f>"Tereza Costa de Jesus Teixeira"</f>
        <v>Tereza Costa de Jesus Teixeira</v>
      </c>
      <c r="D2020" t="str">
        <f>"PENSIONISTA"</f>
        <v>PENSIONISTA</v>
      </c>
      <c r="E2020" t="str">
        <f>"Pensionista"</f>
        <v>Pensionista</v>
      </c>
      <c r="F2020" t="str">
        <f>"R$ 1.400,00"</f>
        <v>R$ 1.400,00</v>
      </c>
      <c r="G2020" t="str">
        <f>"R$ 1.470,00"</f>
        <v>R$ 1.470,00</v>
      </c>
      <c r="H2020" t="str">
        <f t="shared" si="209"/>
        <v>R$ 0,00</v>
      </c>
      <c r="I2020" t="str">
        <f>"R$ 1.470,00"</f>
        <v>R$ 1.470,00</v>
      </c>
      <c r="J2020" t="str">
        <f>"R$ 0,00"</f>
        <v>R$ 0,00</v>
      </c>
      <c r="K2020" t="str">
        <f>"R$ 1.470,00"</f>
        <v>R$ 1.470,00</v>
      </c>
    </row>
    <row r="2021" spans="1:11" x14ac:dyDescent="0.25">
      <c r="A2021" t="str">
        <f>"00052248 / 1"</f>
        <v>00052248 / 1</v>
      </c>
      <c r="B2021" t="str">
        <f>"13° Salário Anual"</f>
        <v>13° Salário Anual</v>
      </c>
      <c r="C2021" t="str">
        <f>"Tereza Nunes da Silva"</f>
        <v>Tereza Nunes da Silva</v>
      </c>
      <c r="D2021" t="str">
        <f>"PROFESSOR NIVEL III"</f>
        <v>PROFESSOR NIVEL III</v>
      </c>
      <c r="E2021" t="str">
        <f>"Efetivo-Inativos II-RJUSM"</f>
        <v>Efetivo-Inativos II-RJUSM</v>
      </c>
      <c r="F2021" t="str">
        <f>"R$ 4.514,79"</f>
        <v>R$ 4.514,79</v>
      </c>
      <c r="G2021" t="str">
        <f>"R$ 5.417,74"</f>
        <v>R$ 5.417,74</v>
      </c>
      <c r="H2021" t="str">
        <f t="shared" si="209"/>
        <v>R$ 0,00</v>
      </c>
      <c r="I2021" t="str">
        <f>"R$ 5.417,74"</f>
        <v>R$ 5.417,74</v>
      </c>
      <c r="J2021" t="str">
        <f>"R$ 2.881,13"</f>
        <v>R$ 2.881,13</v>
      </c>
      <c r="K2021" t="str">
        <f>"R$ 2.536,61"</f>
        <v>R$ 2.536,61</v>
      </c>
    </row>
    <row r="2022" spans="1:11" x14ac:dyDescent="0.25">
      <c r="A2022" t="str">
        <f>"00052248 / 1"</f>
        <v>00052248 / 1</v>
      </c>
      <c r="B2022" t="str">
        <f>"Folha Mensal"</f>
        <v>Folha Mensal</v>
      </c>
      <c r="C2022" t="str">
        <f>"Tereza Nunes da Silva"</f>
        <v>Tereza Nunes da Silva</v>
      </c>
      <c r="D2022" t="str">
        <f>"PROFESSOR NIVEL III"</f>
        <v>PROFESSOR NIVEL III</v>
      </c>
      <c r="E2022" t="str">
        <f>"Efetivo-Inativos II-RJUSM"</f>
        <v>Efetivo-Inativos II-RJUSM</v>
      </c>
      <c r="F2022" t="str">
        <f>"R$ 4.514,79"</f>
        <v>R$ 4.514,79</v>
      </c>
      <c r="G2022" t="str">
        <f>"R$ 5.417,74"</f>
        <v>R$ 5.417,74</v>
      </c>
      <c r="H2022" t="str">
        <f t="shared" si="209"/>
        <v>R$ 0,00</v>
      </c>
      <c r="I2022" t="str">
        <f>"R$ 5.417,74"</f>
        <v>R$ 5.417,74</v>
      </c>
      <c r="J2022" t="str">
        <f>"R$ 172,26"</f>
        <v>R$ 172,26</v>
      </c>
      <c r="K2022" t="str">
        <f>"R$ 5.245,48"</f>
        <v>R$ 5.245,48</v>
      </c>
    </row>
    <row r="2023" spans="1:11" x14ac:dyDescent="0.25">
      <c r="A2023" t="str">
        <f>"00007480 / 1"</f>
        <v>00007480 / 1</v>
      </c>
      <c r="B2023" t="str">
        <f>"13° Salário Anual"</f>
        <v>13° Salário Anual</v>
      </c>
      <c r="C2023" t="str">
        <f>"Terezinha Alves de Oliveira"</f>
        <v>Terezinha Alves de Oliveira</v>
      </c>
      <c r="D2023" t="str">
        <f>"PROFESSOR"</f>
        <v>PROFESSOR</v>
      </c>
      <c r="E2023" t="str">
        <f>"Efetivo-Inativo I- RJUSM"</f>
        <v>Efetivo-Inativo I- RJUSM</v>
      </c>
      <c r="F2023" t="str">
        <f>"R$ 1.593,46"</f>
        <v>R$ 1.593,46</v>
      </c>
      <c r="G2023" t="str">
        <f>"R$ 1.991,82"</f>
        <v>R$ 1.991,82</v>
      </c>
      <c r="H2023" t="str">
        <f t="shared" si="209"/>
        <v>R$ 0,00</v>
      </c>
      <c r="I2023" t="str">
        <f>"R$ 1.991,82"</f>
        <v>R$ 1.991,82</v>
      </c>
      <c r="J2023" t="str">
        <f>"R$ 995,91"</f>
        <v>R$ 995,91</v>
      </c>
      <c r="K2023" t="str">
        <f>"R$ 995,91"</f>
        <v>R$ 995,91</v>
      </c>
    </row>
    <row r="2024" spans="1:11" x14ac:dyDescent="0.25">
      <c r="A2024" t="str">
        <f>"00007480 / 1"</f>
        <v>00007480 / 1</v>
      </c>
      <c r="B2024" t="str">
        <f>"Folha Mensal"</f>
        <v>Folha Mensal</v>
      </c>
      <c r="C2024" t="str">
        <f>"Terezinha Alves de Oliveira"</f>
        <v>Terezinha Alves de Oliveira</v>
      </c>
      <c r="D2024" t="str">
        <f>"PROFESSOR"</f>
        <v>PROFESSOR</v>
      </c>
      <c r="E2024" t="str">
        <f>"Efetivo-Inativo I- RJUSM"</f>
        <v>Efetivo-Inativo I- RJUSM</v>
      </c>
      <c r="F2024" t="str">
        <f>"R$ 1.593,46"</f>
        <v>R$ 1.593,46</v>
      </c>
      <c r="G2024" t="str">
        <f>"R$ 1.991,82"</f>
        <v>R$ 1.991,82</v>
      </c>
      <c r="H2024" t="str">
        <f t="shared" si="209"/>
        <v>R$ 0,00</v>
      </c>
      <c r="I2024" t="str">
        <f>"R$ 1.991,82"</f>
        <v>R$ 1.991,82</v>
      </c>
      <c r="J2024" t="str">
        <f>"R$ 96,11"</f>
        <v>R$ 96,11</v>
      </c>
      <c r="K2024" t="str">
        <f>"R$ 1.895,71"</f>
        <v>R$ 1.895,71</v>
      </c>
    </row>
    <row r="2025" spans="1:11" x14ac:dyDescent="0.25">
      <c r="A2025" t="str">
        <f>"00022365 / 1"</f>
        <v>00022365 / 1</v>
      </c>
      <c r="B2025" t="str">
        <f>"13° Salário Anual"</f>
        <v>13° Salário Anual</v>
      </c>
      <c r="C2025" t="str">
        <f>"Terezinha Amaro de Nazaré Mendes"</f>
        <v>Terezinha Amaro de Nazaré Mendes</v>
      </c>
      <c r="D2025" t="str">
        <f>"PROFESSOR NIVEL I"</f>
        <v>PROFESSOR NIVEL I</v>
      </c>
      <c r="E2025" t="str">
        <f>"Efetivo-Inativos II-RJUSM"</f>
        <v>Efetivo-Inativos II-RJUSM</v>
      </c>
      <c r="F2025" t="str">
        <f>"R$ 5.736,47"</f>
        <v>R$ 5.736,47</v>
      </c>
      <c r="G2025" t="str">
        <f>"R$ 7.457,41"</f>
        <v>R$ 7.457,41</v>
      </c>
      <c r="H2025" t="str">
        <f t="shared" si="209"/>
        <v>R$ 0,00</v>
      </c>
      <c r="I2025" t="str">
        <f>"R$ 7.457,41"</f>
        <v>R$ 7.457,41</v>
      </c>
      <c r="J2025" t="str">
        <f>"R$ 5.047,79"</f>
        <v>R$ 5.047,79</v>
      </c>
      <c r="K2025" t="str">
        <f>"R$ 2.409,62"</f>
        <v>R$ 2.409,62</v>
      </c>
    </row>
    <row r="2026" spans="1:11" x14ac:dyDescent="0.25">
      <c r="A2026" t="str">
        <f>"00022365 / 1"</f>
        <v>00022365 / 1</v>
      </c>
      <c r="B2026" t="str">
        <f>"Folha Mensal"</f>
        <v>Folha Mensal</v>
      </c>
      <c r="C2026" t="str">
        <f>"Terezinha Amaro de Nazaré Mendes"</f>
        <v>Terezinha Amaro de Nazaré Mendes</v>
      </c>
      <c r="D2026" t="str">
        <f>"PROFESSOR NIVEL I"</f>
        <v>PROFESSOR NIVEL I</v>
      </c>
      <c r="E2026" t="str">
        <f>"Efetivo-Inativos II-RJUSM"</f>
        <v>Efetivo-Inativos II-RJUSM</v>
      </c>
      <c r="F2026" t="str">
        <f>"R$ 5.736,47"</f>
        <v>R$ 5.736,47</v>
      </c>
      <c r="G2026" t="str">
        <f>"R$ 7.457,41"</f>
        <v>R$ 7.457,41</v>
      </c>
      <c r="H2026" t="str">
        <f t="shared" si="209"/>
        <v>R$ 0,00</v>
      </c>
      <c r="I2026" t="str">
        <f>"R$ 7.457,41"</f>
        <v>R$ 7.457,41</v>
      </c>
      <c r="J2026" t="str">
        <f>"R$ 3.148,48"</f>
        <v>R$ 3.148,48</v>
      </c>
      <c r="K2026" t="str">
        <f>"R$ 4.308,93"</f>
        <v>R$ 4.308,93</v>
      </c>
    </row>
    <row r="2027" spans="1:11" x14ac:dyDescent="0.25">
      <c r="A2027" t="str">
        <f>"00001368 / 2"</f>
        <v>00001368 / 2</v>
      </c>
      <c r="B2027" t="str">
        <f>"13° Salário Anual"</f>
        <v>13° Salário Anual</v>
      </c>
      <c r="C2027" t="str">
        <f>"Terezinha Carrera Campos"</f>
        <v>Terezinha Carrera Campos</v>
      </c>
      <c r="D2027" t="str">
        <f>"AUXILIAR MUNICIPAL"</f>
        <v>AUXILIAR MUNICIPAL</v>
      </c>
      <c r="E2027" t="str">
        <f>"Efetivo-Inativos II-RJUSM"</f>
        <v>Efetivo-Inativos II-RJUSM</v>
      </c>
      <c r="F2027" t="str">
        <f>"R$ 1.100,00"</f>
        <v>R$ 1.100,00</v>
      </c>
      <c r="G2027" t="str">
        <f>"R$ 1.430,00"</f>
        <v>R$ 1.430,00</v>
      </c>
      <c r="H2027" t="str">
        <f t="shared" si="209"/>
        <v>R$ 0,00</v>
      </c>
      <c r="I2027" t="str">
        <f>"R$ 1.430,00"</f>
        <v>R$ 1.430,00</v>
      </c>
      <c r="J2027" t="str">
        <f>"R$ 715,00"</f>
        <v>R$ 715,00</v>
      </c>
      <c r="K2027" t="str">
        <f>"R$ 715,00"</f>
        <v>R$ 715,00</v>
      </c>
    </row>
    <row r="2028" spans="1:11" x14ac:dyDescent="0.25">
      <c r="A2028" t="str">
        <f>"00001368 / 2"</f>
        <v>00001368 / 2</v>
      </c>
      <c r="B2028" t="str">
        <f>"Folha Mensal"</f>
        <v>Folha Mensal</v>
      </c>
      <c r="C2028" t="str">
        <f>"Terezinha Carrera Campos"</f>
        <v>Terezinha Carrera Campos</v>
      </c>
      <c r="D2028" t="str">
        <f>"AUXILIAR MUNICIPAL"</f>
        <v>AUXILIAR MUNICIPAL</v>
      </c>
      <c r="E2028" t="str">
        <f>"Efetivo-Inativos II-RJUSM"</f>
        <v>Efetivo-Inativos II-RJUSM</v>
      </c>
      <c r="F2028" t="str">
        <f>"R$ 1.100,00"</f>
        <v>R$ 1.100,00</v>
      </c>
      <c r="G2028" t="str">
        <f>"R$ 1.430,00"</f>
        <v>R$ 1.430,00</v>
      </c>
      <c r="H2028" t="str">
        <f t="shared" si="209"/>
        <v>R$ 0,00</v>
      </c>
      <c r="I2028" t="str">
        <f>"R$ 1.430,00"</f>
        <v>R$ 1.430,00</v>
      </c>
      <c r="J2028" t="str">
        <f>"R$ 441,49"</f>
        <v>R$ 441,49</v>
      </c>
      <c r="K2028" t="str">
        <f>"R$ 988,51"</f>
        <v>R$ 988,51</v>
      </c>
    </row>
    <row r="2029" spans="1:11" x14ac:dyDescent="0.25">
      <c r="A2029" t="str">
        <f>"00057819 / 1"</f>
        <v>00057819 / 1</v>
      </c>
      <c r="B2029" t="str">
        <f>"13° Salário Anual"</f>
        <v>13° Salário Anual</v>
      </c>
      <c r="C2029" t="str">
        <f>"Terezinha de Jesus Cordovil"</f>
        <v>Terezinha de Jesus Cordovil</v>
      </c>
      <c r="D2029" t="str">
        <f>"PROFESSOR NIVEL II"</f>
        <v>PROFESSOR NIVEL II</v>
      </c>
      <c r="E2029" t="str">
        <f t="shared" ref="E2029:E2036" si="210">"Efetivo-Inativo I- RJUSM"</f>
        <v>Efetivo-Inativo I- RJUSM</v>
      </c>
      <c r="F2029" t="str">
        <f>"R$ 4.538,54"</f>
        <v>R$ 4.538,54</v>
      </c>
      <c r="G2029" t="str">
        <f>"R$ 5.219,32"</f>
        <v>R$ 5.219,32</v>
      </c>
      <c r="H2029" t="str">
        <f t="shared" si="209"/>
        <v>R$ 0,00</v>
      </c>
      <c r="I2029" t="str">
        <f>"R$ 5.219,32"</f>
        <v>R$ 5.219,32</v>
      </c>
      <c r="J2029" t="str">
        <f>"R$ 2.609,66"</f>
        <v>R$ 2.609,66</v>
      </c>
      <c r="K2029" t="str">
        <f>"R$ 2.609,66"</f>
        <v>R$ 2.609,66</v>
      </c>
    </row>
    <row r="2030" spans="1:11" x14ac:dyDescent="0.25">
      <c r="A2030" t="str">
        <f>"00057819 / 1"</f>
        <v>00057819 / 1</v>
      </c>
      <c r="B2030" t="str">
        <f>"Folha Mensal"</f>
        <v>Folha Mensal</v>
      </c>
      <c r="C2030" t="str">
        <f>"Terezinha de Jesus Cordovil"</f>
        <v>Terezinha de Jesus Cordovil</v>
      </c>
      <c r="D2030" t="str">
        <f>"PROFESSOR NIVEL II"</f>
        <v>PROFESSOR NIVEL II</v>
      </c>
      <c r="E2030" t="str">
        <f t="shared" si="210"/>
        <v>Efetivo-Inativo I- RJUSM</v>
      </c>
      <c r="F2030" t="str">
        <f>"R$ 4.538,54"</f>
        <v>R$ 4.538,54</v>
      </c>
      <c r="G2030" t="str">
        <f>"R$ 5.219,32"</f>
        <v>R$ 5.219,32</v>
      </c>
      <c r="H2030" t="str">
        <f t="shared" si="209"/>
        <v>R$ 0,00</v>
      </c>
      <c r="I2030" t="str">
        <f>"R$ 5.219,32"</f>
        <v>R$ 5.219,32</v>
      </c>
      <c r="J2030" t="str">
        <f>"R$ 853,33"</f>
        <v>R$ 853,33</v>
      </c>
      <c r="K2030" t="str">
        <f>"R$ 4.365,99"</f>
        <v>R$ 4.365,99</v>
      </c>
    </row>
    <row r="2031" spans="1:11" x14ac:dyDescent="0.25">
      <c r="A2031" t="str">
        <f>"00058149 / 1"</f>
        <v>00058149 / 1</v>
      </c>
      <c r="B2031" t="str">
        <f>"13° Salário Anual"</f>
        <v>13° Salário Anual</v>
      </c>
      <c r="C2031" t="str">
        <f>"Terezinha de Jesus Costa dos Santos"</f>
        <v>Terezinha de Jesus Costa dos Santos</v>
      </c>
      <c r="D2031" t="str">
        <f>"PROP IDADE"</f>
        <v>PROP IDADE</v>
      </c>
      <c r="E2031" t="str">
        <f t="shared" si="210"/>
        <v>Efetivo-Inativo I- RJUSM</v>
      </c>
      <c r="F2031" t="str">
        <f>"R$ 1.100,00"</f>
        <v>R$ 1.100,00</v>
      </c>
      <c r="G2031" t="str">
        <f>"R$ 1.100,00"</f>
        <v>R$ 1.100,00</v>
      </c>
      <c r="H2031" t="str">
        <f t="shared" si="209"/>
        <v>R$ 0,00</v>
      </c>
      <c r="I2031" t="str">
        <f>"R$ 1.100,00"</f>
        <v>R$ 1.100,00</v>
      </c>
      <c r="J2031" t="str">
        <f>"R$ 550,00"</f>
        <v>R$ 550,00</v>
      </c>
      <c r="K2031" t="str">
        <f>"R$ 550,00"</f>
        <v>R$ 550,00</v>
      </c>
    </row>
    <row r="2032" spans="1:11" x14ac:dyDescent="0.25">
      <c r="A2032" t="str">
        <f>"00058149 / 1"</f>
        <v>00058149 / 1</v>
      </c>
      <c r="B2032" t="str">
        <f>"Folha Mensal"</f>
        <v>Folha Mensal</v>
      </c>
      <c r="C2032" t="str">
        <f>"Terezinha de Jesus Costa dos Santos"</f>
        <v>Terezinha de Jesus Costa dos Santos</v>
      </c>
      <c r="D2032" t="str">
        <f>"PROP IDADE"</f>
        <v>PROP IDADE</v>
      </c>
      <c r="E2032" t="str">
        <f t="shared" si="210"/>
        <v>Efetivo-Inativo I- RJUSM</v>
      </c>
      <c r="F2032" t="str">
        <f>"R$ 1.100,00"</f>
        <v>R$ 1.100,00</v>
      </c>
      <c r="G2032" t="str">
        <f>"R$ 1.100,00"</f>
        <v>R$ 1.100,00</v>
      </c>
      <c r="H2032" t="str">
        <f t="shared" si="209"/>
        <v>R$ 0,00</v>
      </c>
      <c r="I2032" t="str">
        <f>"R$ 1.100,00"</f>
        <v>R$ 1.100,00</v>
      </c>
      <c r="J2032" t="str">
        <f>"R$ 263,64"</f>
        <v>R$ 263,64</v>
      </c>
      <c r="K2032" t="str">
        <f>"R$ 836,36"</f>
        <v>R$ 836,36</v>
      </c>
    </row>
    <row r="2033" spans="1:11" x14ac:dyDescent="0.25">
      <c r="A2033" t="str">
        <f>"03642917 / 1"</f>
        <v>03642917 / 1</v>
      </c>
      <c r="B2033" t="str">
        <f>"13° Salário Anual"</f>
        <v>13° Salário Anual</v>
      </c>
      <c r="C2033" t="str">
        <f>"Terezinha de Jesus dos Santos"</f>
        <v>Terezinha de Jesus dos Santos</v>
      </c>
      <c r="D2033" t="str">
        <f>"INT INVALIDEZ"</f>
        <v>INT INVALIDEZ</v>
      </c>
      <c r="E2033" t="str">
        <f t="shared" si="210"/>
        <v>Efetivo-Inativo I- RJUSM</v>
      </c>
      <c r="F2033" t="str">
        <f>"R$ 1.100,00"</f>
        <v>R$ 1.100,00</v>
      </c>
      <c r="G2033" t="str">
        <f>"R$ 1.210,00"</f>
        <v>R$ 1.210,00</v>
      </c>
      <c r="H2033" t="str">
        <f t="shared" si="209"/>
        <v>R$ 0,00</v>
      </c>
      <c r="I2033" t="str">
        <f>"R$ 1.210,00"</f>
        <v>R$ 1.210,00</v>
      </c>
      <c r="J2033" t="str">
        <f>"R$ 605,00"</f>
        <v>R$ 605,00</v>
      </c>
      <c r="K2033" t="str">
        <f>"R$ 605,00"</f>
        <v>R$ 605,00</v>
      </c>
    </row>
    <row r="2034" spans="1:11" x14ac:dyDescent="0.25">
      <c r="A2034" t="str">
        <f>"03642917 / 1"</f>
        <v>03642917 / 1</v>
      </c>
      <c r="B2034" t="str">
        <f>"Folha Mensal"</f>
        <v>Folha Mensal</v>
      </c>
      <c r="C2034" t="str">
        <f>"Terezinha de Jesus dos Santos"</f>
        <v>Terezinha de Jesus dos Santos</v>
      </c>
      <c r="D2034" t="str">
        <f>"INT INVALIDEZ"</f>
        <v>INT INVALIDEZ</v>
      </c>
      <c r="E2034" t="str">
        <f t="shared" si="210"/>
        <v>Efetivo-Inativo I- RJUSM</v>
      </c>
      <c r="F2034" t="str">
        <f>"R$ 1.100,00"</f>
        <v>R$ 1.100,00</v>
      </c>
      <c r="G2034" t="str">
        <f>"R$ 1.210,00"</f>
        <v>R$ 1.210,00</v>
      </c>
      <c r="H2034" t="str">
        <f t="shared" si="209"/>
        <v>R$ 0,00</v>
      </c>
      <c r="I2034" t="str">
        <f>"R$ 1.210,00"</f>
        <v>R$ 1.210,00</v>
      </c>
      <c r="J2034" t="str">
        <f>"R$ 0,00"</f>
        <v>R$ 0,00</v>
      </c>
      <c r="K2034" t="str">
        <f>"R$ 1.210,00"</f>
        <v>R$ 1.210,00</v>
      </c>
    </row>
    <row r="2035" spans="1:11" x14ac:dyDescent="0.25">
      <c r="A2035" t="str">
        <f>"00025186 / 1"</f>
        <v>00025186 / 1</v>
      </c>
      <c r="B2035" t="str">
        <f>"13° Salário Anual"</f>
        <v>13° Salário Anual</v>
      </c>
      <c r="C2035" t="str">
        <f>"Terezinha de Jesus Fernandes"</f>
        <v>Terezinha de Jesus Fernandes</v>
      </c>
      <c r="D2035" t="str">
        <f>"PROP IDADE"</f>
        <v>PROP IDADE</v>
      </c>
      <c r="E2035" t="str">
        <f t="shared" si="210"/>
        <v>Efetivo-Inativo I- RJUSM</v>
      </c>
      <c r="F2035" t="str">
        <f>"R$ 1.100,00"</f>
        <v>R$ 1.100,00</v>
      </c>
      <c r="G2035" t="str">
        <f>"R$ 1.100,00"</f>
        <v>R$ 1.100,00</v>
      </c>
      <c r="H2035" t="str">
        <f t="shared" si="209"/>
        <v>R$ 0,00</v>
      </c>
      <c r="I2035" t="str">
        <f>"R$ 1.100,00"</f>
        <v>R$ 1.100,00</v>
      </c>
      <c r="J2035" t="str">
        <f>"R$ 550,00"</f>
        <v>R$ 550,00</v>
      </c>
      <c r="K2035" t="str">
        <f>"R$ 550,00"</f>
        <v>R$ 550,00</v>
      </c>
    </row>
    <row r="2036" spans="1:11" x14ac:dyDescent="0.25">
      <c r="A2036" t="str">
        <f>"00025186 / 1"</f>
        <v>00025186 / 1</v>
      </c>
      <c r="B2036" t="str">
        <f>"Folha Mensal"</f>
        <v>Folha Mensal</v>
      </c>
      <c r="C2036" t="str">
        <f>"Terezinha de Jesus Fernandes"</f>
        <v>Terezinha de Jesus Fernandes</v>
      </c>
      <c r="D2036" t="str">
        <f>"PROP IDADE"</f>
        <v>PROP IDADE</v>
      </c>
      <c r="E2036" t="str">
        <f t="shared" si="210"/>
        <v>Efetivo-Inativo I- RJUSM</v>
      </c>
      <c r="F2036" t="str">
        <f>"R$ 1.100,00"</f>
        <v>R$ 1.100,00</v>
      </c>
      <c r="G2036" t="str">
        <f>"R$ 1.100,00"</f>
        <v>R$ 1.100,00</v>
      </c>
      <c r="H2036" t="str">
        <f t="shared" si="209"/>
        <v>R$ 0,00</v>
      </c>
      <c r="I2036" t="str">
        <f>"R$ 1.100,00"</f>
        <v>R$ 1.100,00</v>
      </c>
      <c r="J2036" t="str">
        <f>"R$ 0,00"</f>
        <v>R$ 0,00</v>
      </c>
      <c r="K2036" t="str">
        <f>"R$ 1.100,00"</f>
        <v>R$ 1.100,00</v>
      </c>
    </row>
    <row r="2037" spans="1:11" x14ac:dyDescent="0.25">
      <c r="A2037" t="str">
        <f>"03642089 / 1"</f>
        <v>03642089 / 1</v>
      </c>
      <c r="B2037" t="str">
        <f>"13° Salário Anual"</f>
        <v>13° Salário Anual</v>
      </c>
      <c r="C2037" t="str">
        <f>"Terezinha de Jesus Rocha de Almeida"</f>
        <v>Terezinha de Jesus Rocha de Almeida</v>
      </c>
      <c r="D2037" t="str">
        <f>"PENSIONISTA"</f>
        <v>PENSIONISTA</v>
      </c>
      <c r="E2037" t="str">
        <f>"Pensionista"</f>
        <v>Pensionista</v>
      </c>
      <c r="F2037" t="str">
        <f>"R$ 851,04"</f>
        <v>R$ 851,04</v>
      </c>
      <c r="G2037" t="str">
        <f>"R$ 1.100,00"</f>
        <v>R$ 1.100,00</v>
      </c>
      <c r="H2037" t="str">
        <f t="shared" si="209"/>
        <v>R$ 0,00</v>
      </c>
      <c r="I2037" t="str">
        <f>"R$ 1.100,00"</f>
        <v>R$ 1.100,00</v>
      </c>
      <c r="J2037" t="str">
        <f>"R$ 550,00"</f>
        <v>R$ 550,00</v>
      </c>
      <c r="K2037" t="str">
        <f>"R$ 550,00"</f>
        <v>R$ 550,00</v>
      </c>
    </row>
    <row r="2038" spans="1:11" x14ac:dyDescent="0.25">
      <c r="A2038" t="str">
        <f>"03642089 / 1"</f>
        <v>03642089 / 1</v>
      </c>
      <c r="B2038" t="str">
        <f>"Folha Mensal"</f>
        <v>Folha Mensal</v>
      </c>
      <c r="C2038" t="str">
        <f>"Terezinha de Jesus Rocha de Almeida"</f>
        <v>Terezinha de Jesus Rocha de Almeida</v>
      </c>
      <c r="D2038" t="str">
        <f>"PENSIONISTA"</f>
        <v>PENSIONISTA</v>
      </c>
      <c r="E2038" t="str">
        <f>"Pensionista"</f>
        <v>Pensionista</v>
      </c>
      <c r="F2038" t="str">
        <f>"R$ 851,04"</f>
        <v>R$ 851,04</v>
      </c>
      <c r="G2038" t="str">
        <f>"R$ 1.100,00"</f>
        <v>R$ 1.100,00</v>
      </c>
      <c r="H2038" t="str">
        <f t="shared" si="209"/>
        <v>R$ 0,00</v>
      </c>
      <c r="I2038" t="str">
        <f>"R$ 1.100,00"</f>
        <v>R$ 1.100,00</v>
      </c>
      <c r="J2038" t="str">
        <f>"R$ 0,00"</f>
        <v>R$ 0,00</v>
      </c>
      <c r="K2038" t="str">
        <f>"R$ 1.100,00"</f>
        <v>R$ 1.100,00</v>
      </c>
    </row>
    <row r="2039" spans="1:11" x14ac:dyDescent="0.25">
      <c r="A2039" t="str">
        <f>"00026301 / 1"</f>
        <v>00026301 / 1</v>
      </c>
      <c r="B2039" t="str">
        <f>"13° Salário Anual"</f>
        <v>13° Salário Anual</v>
      </c>
      <c r="C2039" t="str">
        <f>"Terezinha de Sousa Soares"</f>
        <v>Terezinha de Sousa Soares</v>
      </c>
      <c r="D2039" t="str">
        <f>"PROFESSOR"</f>
        <v>PROFESSOR</v>
      </c>
      <c r="E2039" t="str">
        <f>"Efetivo-Inativo I- RJUSM"</f>
        <v>Efetivo-Inativo I- RJUSM</v>
      </c>
      <c r="F2039" t="str">
        <f>"R$ 1.673,12"</f>
        <v>R$ 1.673,12</v>
      </c>
      <c r="G2039" t="str">
        <f>"R$ 2.175,05"</f>
        <v>R$ 2.175,05</v>
      </c>
      <c r="H2039" t="str">
        <f t="shared" si="209"/>
        <v>R$ 0,00</v>
      </c>
      <c r="I2039" t="str">
        <f>"R$ 2.175,05"</f>
        <v>R$ 2.175,05</v>
      </c>
      <c r="J2039" t="str">
        <f>"R$ 1.087,52"</f>
        <v>R$ 1.087,52</v>
      </c>
      <c r="K2039" t="str">
        <f>"R$ 1.087,53"</f>
        <v>R$ 1.087,53</v>
      </c>
    </row>
    <row r="2040" spans="1:11" x14ac:dyDescent="0.25">
      <c r="A2040" t="str">
        <f>"00026301 / 1"</f>
        <v>00026301 / 1</v>
      </c>
      <c r="B2040" t="str">
        <f>"Folha Mensal"</f>
        <v>Folha Mensal</v>
      </c>
      <c r="C2040" t="str">
        <f>"Terezinha de Sousa Soares"</f>
        <v>Terezinha de Sousa Soares</v>
      </c>
      <c r="D2040" t="str">
        <f>"PROFESSOR"</f>
        <v>PROFESSOR</v>
      </c>
      <c r="E2040" t="str">
        <f>"Efetivo-Inativo I- RJUSM"</f>
        <v>Efetivo-Inativo I- RJUSM</v>
      </c>
      <c r="F2040" t="str">
        <f>"R$ 1.673,12"</f>
        <v>R$ 1.673,12</v>
      </c>
      <c r="G2040" t="str">
        <f>"R$ 2.175,05"</f>
        <v>R$ 2.175,05</v>
      </c>
      <c r="H2040" t="str">
        <f t="shared" si="209"/>
        <v>R$ 0,00</v>
      </c>
      <c r="I2040" t="str">
        <f>"R$ 2.175,05"</f>
        <v>R$ 2.175,05</v>
      </c>
      <c r="J2040" t="str">
        <f>"R$ 573,55"</f>
        <v>R$ 573,55</v>
      </c>
      <c r="K2040" t="str">
        <f>"R$ 1.601,50"</f>
        <v>R$ 1.601,50</v>
      </c>
    </row>
    <row r="2041" spans="1:11" x14ac:dyDescent="0.25">
      <c r="A2041" t="str">
        <f>"00002437 / 1"</f>
        <v>00002437 / 1</v>
      </c>
      <c r="B2041" t="str">
        <f>"13° Salário Anual"</f>
        <v>13° Salário Anual</v>
      </c>
      <c r="C2041" t="str">
        <f>"Terezinha Livramento de Souza"</f>
        <v>Terezinha Livramento de Souza</v>
      </c>
      <c r="D2041" t="str">
        <f>"PROP IDADE"</f>
        <v>PROP IDADE</v>
      </c>
      <c r="E2041" t="str">
        <f>"Efetivo-Inativo I- RJUSM"</f>
        <v>Efetivo-Inativo I- RJUSM</v>
      </c>
      <c r="F2041" t="str">
        <f>"R$ 1.100,00"</f>
        <v>R$ 1.100,00</v>
      </c>
      <c r="G2041" t="str">
        <f>"R$ 1.100,00"</f>
        <v>R$ 1.100,00</v>
      </c>
      <c r="H2041" t="str">
        <f t="shared" si="209"/>
        <v>R$ 0,00</v>
      </c>
      <c r="I2041" t="str">
        <f>"R$ 1.100,00"</f>
        <v>R$ 1.100,00</v>
      </c>
      <c r="J2041" t="str">
        <f>"R$ 550,00"</f>
        <v>R$ 550,00</v>
      </c>
      <c r="K2041" t="str">
        <f>"R$ 550,00"</f>
        <v>R$ 550,00</v>
      </c>
    </row>
    <row r="2042" spans="1:11" x14ac:dyDescent="0.25">
      <c r="A2042" t="str">
        <f>"00002437 / 1"</f>
        <v>00002437 / 1</v>
      </c>
      <c r="B2042" t="str">
        <f>"Folha Mensal"</f>
        <v>Folha Mensal</v>
      </c>
      <c r="C2042" t="str">
        <f>"Terezinha Livramento de Souza"</f>
        <v>Terezinha Livramento de Souza</v>
      </c>
      <c r="D2042" t="str">
        <f>"PROP IDADE"</f>
        <v>PROP IDADE</v>
      </c>
      <c r="E2042" t="str">
        <f>"Efetivo-Inativo I- RJUSM"</f>
        <v>Efetivo-Inativo I- RJUSM</v>
      </c>
      <c r="F2042" t="str">
        <f>"R$ 1.100,00"</f>
        <v>R$ 1.100,00</v>
      </c>
      <c r="G2042" t="str">
        <f>"R$ 1.100,00"</f>
        <v>R$ 1.100,00</v>
      </c>
      <c r="H2042" t="str">
        <f t="shared" si="209"/>
        <v>R$ 0,00</v>
      </c>
      <c r="I2042" t="str">
        <f>"R$ 1.100,00"</f>
        <v>R$ 1.100,00</v>
      </c>
      <c r="J2042" t="str">
        <f>"R$ 263,99"</f>
        <v>R$ 263,99</v>
      </c>
      <c r="K2042" t="str">
        <f>"R$ 836,01"</f>
        <v>R$ 836,01</v>
      </c>
    </row>
    <row r="2043" spans="1:11" x14ac:dyDescent="0.25">
      <c r="A2043" t="str">
        <f>"03640604 / 1"</f>
        <v>03640604 / 1</v>
      </c>
      <c r="B2043" t="str">
        <f>"13° Salário Anual"</f>
        <v>13° Salário Anual</v>
      </c>
      <c r="C2043" t="str">
        <f>"Thainna da Silva Martins"</f>
        <v>Thainna da Silva Martins</v>
      </c>
      <c r="D2043" t="str">
        <f>"DAS 07"</f>
        <v>DAS 07</v>
      </c>
      <c r="E2043" t="str">
        <f>"Comissionado"</f>
        <v>Comissionado</v>
      </c>
      <c r="F2043" t="str">
        <f>"R$ 3.154,55"</f>
        <v>R$ 3.154,55</v>
      </c>
      <c r="G2043" t="str">
        <f>"R$ 2.891,67"</f>
        <v>R$ 2.891,67</v>
      </c>
      <c r="H2043" t="str">
        <f t="shared" si="209"/>
        <v>R$ 0,00</v>
      </c>
      <c r="I2043" t="str">
        <f>"R$ 2.891,67"</f>
        <v>R$ 2.891,67</v>
      </c>
      <c r="J2043" t="str">
        <f>"R$ 1.764,46"</f>
        <v>R$ 1.764,46</v>
      </c>
      <c r="K2043" t="str">
        <f>"R$ 1.127,21"</f>
        <v>R$ 1.127,21</v>
      </c>
    </row>
    <row r="2044" spans="1:11" x14ac:dyDescent="0.25">
      <c r="A2044" t="str">
        <f>"03640604 / 1"</f>
        <v>03640604 / 1</v>
      </c>
      <c r="B2044" t="str">
        <f>"Folha Mensal"</f>
        <v>Folha Mensal</v>
      </c>
      <c r="C2044" t="str">
        <f>"Thainna da Silva Martins"</f>
        <v>Thainna da Silva Martins</v>
      </c>
      <c r="D2044" t="str">
        <f>"DAS 07"</f>
        <v>DAS 07</v>
      </c>
      <c r="E2044" t="str">
        <f>"Comissionado"</f>
        <v>Comissionado</v>
      </c>
      <c r="F2044" t="str">
        <f>"R$ 3.154,55"</f>
        <v>R$ 3.154,55</v>
      </c>
      <c r="G2044" t="str">
        <f>"R$ 3.154,55"</f>
        <v>R$ 3.154,55</v>
      </c>
      <c r="H2044" t="str">
        <f t="shared" si="209"/>
        <v>R$ 0,00</v>
      </c>
      <c r="I2044" t="str">
        <f>"R$ 3.154,55"</f>
        <v>R$ 3.154,55</v>
      </c>
      <c r="J2044" t="str">
        <f>"R$ 369,92"</f>
        <v>R$ 369,92</v>
      </c>
      <c r="K2044" t="str">
        <f>"R$ 2.784,63"</f>
        <v>R$ 2.784,63</v>
      </c>
    </row>
    <row r="2045" spans="1:11" x14ac:dyDescent="0.25">
      <c r="A2045" t="str">
        <f>"00002216 / 1"</f>
        <v>00002216 / 1</v>
      </c>
      <c r="B2045" t="str">
        <f>"13° Salário Anual"</f>
        <v>13° Salário Anual</v>
      </c>
      <c r="C2045" t="str">
        <f>"Ulda da Cunha Cardoso"</f>
        <v>Ulda da Cunha Cardoso</v>
      </c>
      <c r="D2045" t="str">
        <f>"PENSIONISTA"</f>
        <v>PENSIONISTA</v>
      </c>
      <c r="E2045" t="str">
        <f>"Pensionista"</f>
        <v>Pensionista</v>
      </c>
      <c r="F2045" t="str">
        <f>"R$ 1.100,00"</f>
        <v>R$ 1.100,00</v>
      </c>
      <c r="G2045" t="str">
        <f>"R$ 1.100,00"</f>
        <v>R$ 1.100,00</v>
      </c>
      <c r="H2045" t="str">
        <f t="shared" si="209"/>
        <v>R$ 0,00</v>
      </c>
      <c r="I2045" t="str">
        <f>"R$ 1.100,00"</f>
        <v>R$ 1.100,00</v>
      </c>
      <c r="J2045" t="str">
        <f>"R$ 550,00"</f>
        <v>R$ 550,00</v>
      </c>
      <c r="K2045" t="str">
        <f>"R$ 550,00"</f>
        <v>R$ 550,00</v>
      </c>
    </row>
    <row r="2046" spans="1:11" x14ac:dyDescent="0.25">
      <c r="A2046" t="str">
        <f>"00002216 / 1"</f>
        <v>00002216 / 1</v>
      </c>
      <c r="B2046" t="str">
        <f>"Folha Mensal"</f>
        <v>Folha Mensal</v>
      </c>
      <c r="C2046" t="str">
        <f>"Ulda da Cunha Cardoso"</f>
        <v>Ulda da Cunha Cardoso</v>
      </c>
      <c r="D2046" t="str">
        <f>"PENSIONISTA"</f>
        <v>PENSIONISTA</v>
      </c>
      <c r="E2046" t="str">
        <f>"Pensionista"</f>
        <v>Pensionista</v>
      </c>
      <c r="F2046" t="str">
        <f>"R$ 1.100,00"</f>
        <v>R$ 1.100,00</v>
      </c>
      <c r="G2046" t="str">
        <f>"R$ 1.100,00"</f>
        <v>R$ 1.100,00</v>
      </c>
      <c r="H2046" t="str">
        <f t="shared" si="209"/>
        <v>R$ 0,00</v>
      </c>
      <c r="I2046" t="str">
        <f>"R$ 1.100,00"</f>
        <v>R$ 1.100,00</v>
      </c>
      <c r="J2046" t="str">
        <f>"R$ 560,07"</f>
        <v>R$ 560,07</v>
      </c>
      <c r="K2046" t="str">
        <f>"R$ 539,93"</f>
        <v>R$ 539,93</v>
      </c>
    </row>
    <row r="2047" spans="1:11" x14ac:dyDescent="0.25">
      <c r="A2047" t="str">
        <f>"03640582 / 1"</f>
        <v>03640582 / 1</v>
      </c>
      <c r="B2047" t="str">
        <f>"13° Salário Anual"</f>
        <v>13° Salário Anual</v>
      </c>
      <c r="C2047" t="str">
        <f>"Uziel da Silva Monteiro"</f>
        <v>Uziel da Silva Monteiro</v>
      </c>
      <c r="D2047" t="str">
        <f>"DAS 03 B"</f>
        <v>DAS 03 B</v>
      </c>
      <c r="E2047" t="str">
        <f>"Comissionado"</f>
        <v>Comissionado</v>
      </c>
      <c r="F2047" t="str">
        <f>"R$ 1.404,28"</f>
        <v>R$ 1.404,28</v>
      </c>
      <c r="G2047" t="str">
        <f>"R$ 1.287,25"</f>
        <v>R$ 1.287,25</v>
      </c>
      <c r="H2047" t="str">
        <f t="shared" si="209"/>
        <v>R$ 0,00</v>
      </c>
      <c r="I2047" t="str">
        <f>"R$ 1.287,25"</f>
        <v>R$ 1.287,25</v>
      </c>
      <c r="J2047" t="str">
        <f>"R$ 742,97"</f>
        <v>R$ 742,97</v>
      </c>
      <c r="K2047" t="str">
        <f>"R$ 544,28"</f>
        <v>R$ 544,28</v>
      </c>
    </row>
    <row r="2048" spans="1:11" x14ac:dyDescent="0.25">
      <c r="A2048" t="str">
        <f>"03640582 / 1"</f>
        <v>03640582 / 1</v>
      </c>
      <c r="B2048" t="str">
        <f>"Folha Mensal"</f>
        <v>Folha Mensal</v>
      </c>
      <c r="C2048" t="str">
        <f>"Uziel da Silva Monteiro"</f>
        <v>Uziel da Silva Monteiro</v>
      </c>
      <c r="D2048" t="str">
        <f>"DAS 03 B"</f>
        <v>DAS 03 B</v>
      </c>
      <c r="E2048" t="str">
        <f>"Comissionado"</f>
        <v>Comissionado</v>
      </c>
      <c r="F2048" t="str">
        <f>"R$ 1.404,28"</f>
        <v>R$ 1.404,28</v>
      </c>
      <c r="G2048" t="str">
        <f>"R$ 1.404,28"</f>
        <v>R$ 1.404,28</v>
      </c>
      <c r="H2048" t="str">
        <f t="shared" si="209"/>
        <v>R$ 0,00</v>
      </c>
      <c r="I2048" t="str">
        <f>"R$ 1.404,28"</f>
        <v>R$ 1.404,28</v>
      </c>
      <c r="J2048" t="str">
        <f>"R$ 109,88"</f>
        <v>R$ 109,88</v>
      </c>
      <c r="K2048" t="str">
        <f>"R$ 1.294,40"</f>
        <v>R$ 1.294,40</v>
      </c>
    </row>
    <row r="2049" spans="1:11" x14ac:dyDescent="0.25">
      <c r="A2049" t="str">
        <f>"00058122 / 1"</f>
        <v>00058122 / 1</v>
      </c>
      <c r="B2049" t="str">
        <f>"13° Salário Anual"</f>
        <v>13° Salário Anual</v>
      </c>
      <c r="C2049" t="str">
        <f>"Valdelice Ferreira Pinheiro"</f>
        <v>Valdelice Ferreira Pinheiro</v>
      </c>
      <c r="D2049" t="str">
        <f>"PROFESSOR NIVEL III"</f>
        <v>PROFESSOR NIVEL III</v>
      </c>
      <c r="E2049" t="str">
        <f>"Efetivo-Inativos II-RJUSM"</f>
        <v>Efetivo-Inativos II-RJUSM</v>
      </c>
      <c r="F2049" t="str">
        <f>"R$ 5.417,81"</f>
        <v>R$ 5.417,81</v>
      </c>
      <c r="G2049" t="str">
        <f>"R$ 6.501,37"</f>
        <v>R$ 6.501,37</v>
      </c>
      <c r="H2049" t="str">
        <f t="shared" ref="H2049:H2073" si="211">"R$ 0,00"</f>
        <v>R$ 0,00</v>
      </c>
      <c r="I2049" t="str">
        <f>"R$ 6.501,37"</f>
        <v>R$ 6.501,37</v>
      </c>
      <c r="J2049" t="str">
        <f>"R$ 4.209,82"</f>
        <v>R$ 4.209,82</v>
      </c>
      <c r="K2049" t="str">
        <f>"R$ 2.291,55"</f>
        <v>R$ 2.291,55</v>
      </c>
    </row>
    <row r="2050" spans="1:11" x14ac:dyDescent="0.25">
      <c r="A2050" t="str">
        <f>"00058122 / 1"</f>
        <v>00058122 / 1</v>
      </c>
      <c r="B2050" t="str">
        <f>"Folha Mensal"</f>
        <v>Folha Mensal</v>
      </c>
      <c r="C2050" t="str">
        <f>"Valdelice Ferreira Pinheiro"</f>
        <v>Valdelice Ferreira Pinheiro</v>
      </c>
      <c r="D2050" t="str">
        <f>"PROFESSOR NIVEL III"</f>
        <v>PROFESSOR NIVEL III</v>
      </c>
      <c r="E2050" t="str">
        <f>"Efetivo-Inativos II-RJUSM"</f>
        <v>Efetivo-Inativos II-RJUSM</v>
      </c>
      <c r="F2050" t="str">
        <f>"R$ 5.417,81"</f>
        <v>R$ 5.417,81</v>
      </c>
      <c r="G2050" t="str">
        <f>"R$ 6.501,37"</f>
        <v>R$ 6.501,37</v>
      </c>
      <c r="H2050" t="str">
        <f t="shared" si="211"/>
        <v>R$ 0,00</v>
      </c>
      <c r="I2050" t="str">
        <f>"R$ 6.501,37"</f>
        <v>R$ 6.501,37</v>
      </c>
      <c r="J2050" t="str">
        <f>"R$ 2.624,42"</f>
        <v>R$ 2.624,42</v>
      </c>
      <c r="K2050" t="str">
        <f>"R$ 3.876,95"</f>
        <v>R$ 3.876,95</v>
      </c>
    </row>
    <row r="2051" spans="1:11" x14ac:dyDescent="0.25">
      <c r="A2051" t="str">
        <f>"00025402 / 2"</f>
        <v>00025402 / 2</v>
      </c>
      <c r="B2051" t="str">
        <f>"13° Salário Anual"</f>
        <v>13° Salário Anual</v>
      </c>
      <c r="C2051" t="str">
        <f>"Valdeneide Ventura da Cunha"</f>
        <v>Valdeneide Ventura da Cunha</v>
      </c>
      <c r="D2051" t="str">
        <f>"PROFESSOR"</f>
        <v>PROFESSOR</v>
      </c>
      <c r="E2051" t="str">
        <f>"Efetivo-Inativo I- RJUSM"</f>
        <v>Efetivo-Inativo I- RJUSM</v>
      </c>
      <c r="F2051" t="str">
        <f>"R$ 1.593,46"</f>
        <v>R$ 1.593,46</v>
      </c>
      <c r="G2051" t="str">
        <f>"R$ 1.991,82"</f>
        <v>R$ 1.991,82</v>
      </c>
      <c r="H2051" t="str">
        <f t="shared" si="211"/>
        <v>R$ 0,00</v>
      </c>
      <c r="I2051" t="str">
        <f>"R$ 1.991,82"</f>
        <v>R$ 1.991,82</v>
      </c>
      <c r="J2051" t="str">
        <f>"R$ 995,91"</f>
        <v>R$ 995,91</v>
      </c>
      <c r="K2051" t="str">
        <f>"R$ 995,91"</f>
        <v>R$ 995,91</v>
      </c>
    </row>
    <row r="2052" spans="1:11" x14ac:dyDescent="0.25">
      <c r="A2052" t="str">
        <f>"00025402 / 2"</f>
        <v>00025402 / 2</v>
      </c>
      <c r="B2052" t="str">
        <f>"Folha Mensal"</f>
        <v>Folha Mensal</v>
      </c>
      <c r="C2052" t="str">
        <f>"Valdeneide Ventura da Cunha"</f>
        <v>Valdeneide Ventura da Cunha</v>
      </c>
      <c r="D2052" t="str">
        <f>"PROFESSOR"</f>
        <v>PROFESSOR</v>
      </c>
      <c r="E2052" t="str">
        <f>"Efetivo-Inativo I- RJUSM"</f>
        <v>Efetivo-Inativo I- RJUSM</v>
      </c>
      <c r="F2052" t="str">
        <f>"R$ 1.593,46"</f>
        <v>R$ 1.593,46</v>
      </c>
      <c r="G2052" t="str">
        <f>"R$ 1.991,82"</f>
        <v>R$ 1.991,82</v>
      </c>
      <c r="H2052" t="str">
        <f t="shared" si="211"/>
        <v>R$ 0,00</v>
      </c>
      <c r="I2052" t="str">
        <f>"R$ 1.991,82"</f>
        <v>R$ 1.991,82</v>
      </c>
      <c r="J2052" t="str">
        <f>"R$ 679,66"</f>
        <v>R$ 679,66</v>
      </c>
      <c r="K2052" t="str">
        <f>"R$ 1.312,16"</f>
        <v>R$ 1.312,16</v>
      </c>
    </row>
    <row r="2053" spans="1:11" x14ac:dyDescent="0.25">
      <c r="A2053" t="str">
        <f>"03640760 / 1"</f>
        <v>03640760 / 1</v>
      </c>
      <c r="B2053" t="str">
        <f>"13° Salário Anual"</f>
        <v>13° Salário Anual</v>
      </c>
      <c r="C2053" t="str">
        <f>"Valdenir Ribeiro do Nascimento"</f>
        <v>Valdenir Ribeiro do Nascimento</v>
      </c>
      <c r="D2053" t="str">
        <f>"DAS 08"</f>
        <v>DAS 08</v>
      </c>
      <c r="E2053" t="str">
        <f>"Comissionado"</f>
        <v>Comissionado</v>
      </c>
      <c r="F2053" t="str">
        <f>"R$ 4.200,00"</f>
        <v>R$ 4.200,00</v>
      </c>
      <c r="G2053" t="str">
        <f>"R$ 3.850,00"</f>
        <v>R$ 3.850,00</v>
      </c>
      <c r="H2053" t="str">
        <f t="shared" si="211"/>
        <v>R$ 0,00</v>
      </c>
      <c r="I2053" t="str">
        <f>"R$ 3.850,00"</f>
        <v>R$ 3.850,00</v>
      </c>
      <c r="J2053" t="str">
        <f>"R$ 2.422,55"</f>
        <v>R$ 2.422,55</v>
      </c>
      <c r="K2053" t="str">
        <f>"R$ 1.427,45"</f>
        <v>R$ 1.427,45</v>
      </c>
    </row>
    <row r="2054" spans="1:11" x14ac:dyDescent="0.25">
      <c r="A2054" t="str">
        <f>"03640760 / 1"</f>
        <v>03640760 / 1</v>
      </c>
      <c r="B2054" t="str">
        <f>"Folha Mensal"</f>
        <v>Folha Mensal</v>
      </c>
      <c r="C2054" t="str">
        <f>"Valdenir Ribeiro do Nascimento"</f>
        <v>Valdenir Ribeiro do Nascimento</v>
      </c>
      <c r="D2054" t="str">
        <f>"DAS 08"</f>
        <v>DAS 08</v>
      </c>
      <c r="E2054" t="str">
        <f>"Comissionado"</f>
        <v>Comissionado</v>
      </c>
      <c r="F2054" t="str">
        <f>"R$ 4.200,00"</f>
        <v>R$ 4.200,00</v>
      </c>
      <c r="G2054" t="str">
        <f>"R$ 4.200,00"</f>
        <v>R$ 4.200,00</v>
      </c>
      <c r="H2054" t="str">
        <f t="shared" si="211"/>
        <v>R$ 0,00</v>
      </c>
      <c r="I2054" t="str">
        <f>"R$ 4.200,00"</f>
        <v>R$ 4.200,00</v>
      </c>
      <c r="J2054" t="str">
        <f>"R$ 591,70"</f>
        <v>R$ 591,70</v>
      </c>
      <c r="K2054" t="str">
        <f>"R$ 3.608,30"</f>
        <v>R$ 3.608,30</v>
      </c>
    </row>
    <row r="2055" spans="1:11" x14ac:dyDescent="0.25">
      <c r="A2055" t="str">
        <f>"03641155 / 1"</f>
        <v>03641155 / 1</v>
      </c>
      <c r="B2055" t="str">
        <f>"13° Salário Anual"</f>
        <v>13° Salário Anual</v>
      </c>
      <c r="C2055" t="str">
        <f>"Valter Goncalves Oliveira"</f>
        <v>Valter Goncalves Oliveira</v>
      </c>
      <c r="D2055" t="str">
        <f>"DAS 01"</f>
        <v>DAS 01</v>
      </c>
      <c r="E2055" t="str">
        <f>"Comissionado"</f>
        <v>Comissionado</v>
      </c>
      <c r="F2055" t="str">
        <f>"R$ 1.100,00"</f>
        <v>R$ 1.100,00</v>
      </c>
      <c r="G2055" t="str">
        <f>"R$ 825,00"</f>
        <v>R$ 825,00</v>
      </c>
      <c r="H2055" t="str">
        <f t="shared" si="211"/>
        <v>R$ 0,00</v>
      </c>
      <c r="I2055" t="str">
        <f>"R$ 825,00"</f>
        <v>R$ 825,00</v>
      </c>
      <c r="J2055" t="str">
        <f>"R$ 474,37"</f>
        <v>R$ 474,37</v>
      </c>
      <c r="K2055" t="str">
        <f>"R$ 350,63"</f>
        <v>R$ 350,63</v>
      </c>
    </row>
    <row r="2056" spans="1:11" x14ac:dyDescent="0.25">
      <c r="A2056" t="str">
        <f>"03641155 / 1"</f>
        <v>03641155 / 1</v>
      </c>
      <c r="B2056" t="str">
        <f>"Folha Mensal"</f>
        <v>Folha Mensal</v>
      </c>
      <c r="C2056" t="str">
        <f>"Valter Goncalves Oliveira"</f>
        <v>Valter Goncalves Oliveira</v>
      </c>
      <c r="D2056" t="str">
        <f>"DAS 01"</f>
        <v>DAS 01</v>
      </c>
      <c r="E2056" t="str">
        <f>"Comissionado"</f>
        <v>Comissionado</v>
      </c>
      <c r="F2056" t="str">
        <f>"R$ 1.100,00"</f>
        <v>R$ 1.100,00</v>
      </c>
      <c r="G2056" t="str">
        <f>"R$ 1.100,00"</f>
        <v>R$ 1.100,00</v>
      </c>
      <c r="H2056" t="str">
        <f t="shared" si="211"/>
        <v>R$ 0,00</v>
      </c>
      <c r="I2056" t="str">
        <f>"R$ 1.100,00"</f>
        <v>R$ 1.100,00</v>
      </c>
      <c r="J2056" t="str">
        <f>"R$ 82,50"</f>
        <v>R$ 82,50</v>
      </c>
      <c r="K2056" t="str">
        <f>"R$ 1.017,50"</f>
        <v>R$ 1.017,50</v>
      </c>
    </row>
    <row r="2057" spans="1:11" x14ac:dyDescent="0.25">
      <c r="A2057" t="str">
        <f>"00031488 / 2"</f>
        <v>00031488 / 2</v>
      </c>
      <c r="B2057" t="str">
        <f>"13° Salário Anual"</f>
        <v>13° Salário Anual</v>
      </c>
      <c r="C2057" t="str">
        <f>"Vanda Cassia Alves de Moraes"</f>
        <v>Vanda Cassia Alves de Moraes</v>
      </c>
      <c r="D2057" t="str">
        <f>"PROFESSOR NIVEL II"</f>
        <v>PROFESSOR NIVEL II</v>
      </c>
      <c r="E2057" t="str">
        <f>"Efetivo-Inativos II-RJUSM"</f>
        <v>Efetivo-Inativos II-RJUSM</v>
      </c>
      <c r="F2057" t="str">
        <f>"R$ 4.780,39"</f>
        <v>R$ 4.780,39</v>
      </c>
      <c r="G2057" t="str">
        <f>"R$ 6.214,50"</f>
        <v>R$ 6.214,50</v>
      </c>
      <c r="H2057" t="str">
        <f t="shared" si="211"/>
        <v>R$ 0,00</v>
      </c>
      <c r="I2057" t="str">
        <f>"R$ 6.214,50"</f>
        <v>R$ 6.214,50</v>
      </c>
      <c r="J2057" t="str">
        <f>"R$ 3.906,25"</f>
        <v>R$ 3.906,25</v>
      </c>
      <c r="K2057" t="str">
        <f>"R$ 2.308,25"</f>
        <v>R$ 2.308,25</v>
      </c>
    </row>
    <row r="2058" spans="1:11" x14ac:dyDescent="0.25">
      <c r="A2058" t="str">
        <f>"00031488 / 2"</f>
        <v>00031488 / 2</v>
      </c>
      <c r="B2058" t="str">
        <f>"Folha Mensal"</f>
        <v>Folha Mensal</v>
      </c>
      <c r="C2058" t="str">
        <f>"Vanda Cassia Alves de Moraes"</f>
        <v>Vanda Cassia Alves de Moraes</v>
      </c>
      <c r="D2058" t="str">
        <f>"PROFESSOR NIVEL II"</f>
        <v>PROFESSOR NIVEL II</v>
      </c>
      <c r="E2058" t="str">
        <f>"Efetivo-Inativos II-RJUSM"</f>
        <v>Efetivo-Inativos II-RJUSM</v>
      </c>
      <c r="F2058" t="str">
        <f>"R$ 4.780,39"</f>
        <v>R$ 4.780,39</v>
      </c>
      <c r="G2058" t="str">
        <f>"R$ 6.214,50"</f>
        <v>R$ 6.214,50</v>
      </c>
      <c r="H2058" t="str">
        <f t="shared" si="211"/>
        <v>R$ 0,00</v>
      </c>
      <c r="I2058" t="str">
        <f>"R$ 6.214,50"</f>
        <v>R$ 6.214,50</v>
      </c>
      <c r="J2058" t="str">
        <f>"R$ 2.638,18"</f>
        <v>R$ 2.638,18</v>
      </c>
      <c r="K2058" t="str">
        <f>"R$ 3.576,32"</f>
        <v>R$ 3.576,32</v>
      </c>
    </row>
    <row r="2059" spans="1:11" x14ac:dyDescent="0.25">
      <c r="A2059" t="str">
        <f>"00004618 / 1"</f>
        <v>00004618 / 1</v>
      </c>
      <c r="B2059" t="str">
        <f>"13° Salário Anual"</f>
        <v>13° Salário Anual</v>
      </c>
      <c r="C2059" t="str">
        <f>"Vanda Maria de Souza Cabral"</f>
        <v>Vanda Maria de Souza Cabral</v>
      </c>
      <c r="D2059" t="str">
        <f>"PROFESSOR NIVEL III"</f>
        <v>PROFESSOR NIVEL III</v>
      </c>
      <c r="E2059" t="str">
        <f>"Efetivo-Inativos II-RJUSM"</f>
        <v>Efetivo-Inativos II-RJUSM</v>
      </c>
      <c r="F2059" t="str">
        <f>"R$ 6.055,17"</f>
        <v>R$ 6.055,17</v>
      </c>
      <c r="G2059" t="str">
        <f>"R$ 8.174,47"</f>
        <v>R$ 8.174,47</v>
      </c>
      <c r="H2059" t="str">
        <f t="shared" si="211"/>
        <v>R$ 0,00</v>
      </c>
      <c r="I2059" t="str">
        <f>"R$ 8.174,47"</f>
        <v>R$ 8.174,47</v>
      </c>
      <c r="J2059" t="str">
        <f>"R$ 5.676,29"</f>
        <v>R$ 5.676,29</v>
      </c>
      <c r="K2059" t="str">
        <f>"R$ 2.498,18"</f>
        <v>R$ 2.498,18</v>
      </c>
    </row>
    <row r="2060" spans="1:11" x14ac:dyDescent="0.25">
      <c r="A2060" t="str">
        <f>"00004618 / 1"</f>
        <v>00004618 / 1</v>
      </c>
      <c r="B2060" t="str">
        <f>"Folha Mensal"</f>
        <v>Folha Mensal</v>
      </c>
      <c r="C2060" t="str">
        <f>"Vanda Maria de Souza Cabral"</f>
        <v>Vanda Maria de Souza Cabral</v>
      </c>
      <c r="D2060" t="str">
        <f>"PROFESSOR NIVEL III"</f>
        <v>PROFESSOR NIVEL III</v>
      </c>
      <c r="E2060" t="str">
        <f>"Efetivo-Inativos II-RJUSM"</f>
        <v>Efetivo-Inativos II-RJUSM</v>
      </c>
      <c r="F2060" t="str">
        <f>"R$ 6.055,17"</f>
        <v>R$ 6.055,17</v>
      </c>
      <c r="G2060" t="str">
        <f>"R$ 8.174,47"</f>
        <v>R$ 8.174,47</v>
      </c>
      <c r="H2060" t="str">
        <f t="shared" si="211"/>
        <v>R$ 0,00</v>
      </c>
      <c r="I2060" t="str">
        <f>"R$ 8.174,47"</f>
        <v>R$ 8.174,47</v>
      </c>
      <c r="J2060" t="str">
        <f>"R$ 2.979,24"</f>
        <v>R$ 2.979,24</v>
      </c>
      <c r="K2060" t="str">
        <f>"R$ 5.195,23"</f>
        <v>R$ 5.195,23</v>
      </c>
    </row>
    <row r="2061" spans="1:11" x14ac:dyDescent="0.25">
      <c r="A2061" t="str">
        <f>"03640388 / 1"</f>
        <v>03640388 / 1</v>
      </c>
      <c r="B2061" t="str">
        <f>"13° Salário Anual"</f>
        <v>13° Salário Anual</v>
      </c>
      <c r="C2061" t="str">
        <f>"Vanessa Cristina Oliveira Matos"</f>
        <v>Vanessa Cristina Oliveira Matos</v>
      </c>
      <c r="D2061" t="str">
        <f>"DAS 08"</f>
        <v>DAS 08</v>
      </c>
      <c r="E2061" t="str">
        <f>"Comissionado"</f>
        <v>Comissionado</v>
      </c>
      <c r="F2061" t="str">
        <f>"R$ 4.200,00"</f>
        <v>R$ 4.200,00</v>
      </c>
      <c r="G2061" t="str">
        <f>"R$ 4.200,00"</f>
        <v>R$ 4.200,00</v>
      </c>
      <c r="H2061" t="str">
        <f t="shared" si="211"/>
        <v>R$ 0,00</v>
      </c>
      <c r="I2061" t="str">
        <f>"R$ 4.200,00"</f>
        <v>R$ 4.200,00</v>
      </c>
      <c r="J2061" t="str">
        <f>"R$ 2.691,70"</f>
        <v>R$ 2.691,70</v>
      </c>
      <c r="K2061" t="str">
        <f>"R$ 1.508,30"</f>
        <v>R$ 1.508,30</v>
      </c>
    </row>
    <row r="2062" spans="1:11" x14ac:dyDescent="0.25">
      <c r="A2062" t="str">
        <f>"03640388 / 1"</f>
        <v>03640388 / 1</v>
      </c>
      <c r="B2062" t="str">
        <f>"Folha Mensal"</f>
        <v>Folha Mensal</v>
      </c>
      <c r="C2062" t="str">
        <f>"Vanessa Cristina Oliveira Matos"</f>
        <v>Vanessa Cristina Oliveira Matos</v>
      </c>
      <c r="D2062" t="str">
        <f>"DAS 08"</f>
        <v>DAS 08</v>
      </c>
      <c r="E2062" t="str">
        <f>"Comissionado"</f>
        <v>Comissionado</v>
      </c>
      <c r="F2062" t="str">
        <f>"R$ 4.200,00"</f>
        <v>R$ 4.200,00</v>
      </c>
      <c r="G2062" t="str">
        <f>"R$ 4.200,00"</f>
        <v>R$ 4.200,00</v>
      </c>
      <c r="H2062" t="str">
        <f t="shared" si="211"/>
        <v>R$ 0,00</v>
      </c>
      <c r="I2062" t="str">
        <f>"R$ 4.200,00"</f>
        <v>R$ 4.200,00</v>
      </c>
      <c r="J2062" t="str">
        <f>"R$ 591,70"</f>
        <v>R$ 591,70</v>
      </c>
      <c r="K2062" t="str">
        <f>"R$ 3.608,30"</f>
        <v>R$ 3.608,30</v>
      </c>
    </row>
    <row r="2063" spans="1:11" x14ac:dyDescent="0.25">
      <c r="A2063" t="str">
        <f>"00009784 / 2"</f>
        <v>00009784 / 2</v>
      </c>
      <c r="B2063" t="str">
        <f>"13° Salário Anual"</f>
        <v>13° Salário Anual</v>
      </c>
      <c r="C2063" t="str">
        <f>"Vania Claudia Ferreira Barbosa"</f>
        <v>Vania Claudia Ferreira Barbosa</v>
      </c>
      <c r="D2063" t="str">
        <f>"PROFESSOR NIVEL II"</f>
        <v>PROFESSOR NIVEL II</v>
      </c>
      <c r="E2063" t="str">
        <f>"Efetivo-Inativos II-RJUSM"</f>
        <v>Efetivo-Inativos II-RJUSM</v>
      </c>
      <c r="F2063" t="str">
        <f>"R$ 5.736,47"</f>
        <v>R$ 5.736,47</v>
      </c>
      <c r="G2063" t="str">
        <f>"R$ 7.457,41"</f>
        <v>R$ 7.457,41</v>
      </c>
      <c r="H2063" t="str">
        <f t="shared" si="211"/>
        <v>R$ 0,00</v>
      </c>
      <c r="I2063" t="str">
        <f>"R$ 7.457,41"</f>
        <v>R$ 7.457,41</v>
      </c>
      <c r="J2063" t="str">
        <f>"R$ 3.918,58"</f>
        <v>R$ 3.918,58</v>
      </c>
      <c r="K2063" t="str">
        <f>"R$ 3.538,83"</f>
        <v>R$ 3.538,83</v>
      </c>
    </row>
    <row r="2064" spans="1:11" x14ac:dyDescent="0.25">
      <c r="A2064" t="str">
        <f>"00009784 / 2"</f>
        <v>00009784 / 2</v>
      </c>
      <c r="B2064" t="str">
        <f>"Folha Mensal"</f>
        <v>Folha Mensal</v>
      </c>
      <c r="C2064" t="str">
        <f>"Vania Claudia Ferreira Barbosa"</f>
        <v>Vania Claudia Ferreira Barbosa</v>
      </c>
      <c r="D2064" t="str">
        <f>"PROFESSOR NIVEL II"</f>
        <v>PROFESSOR NIVEL II</v>
      </c>
      <c r="E2064" t="str">
        <f>"Efetivo-Inativos II-RJUSM"</f>
        <v>Efetivo-Inativos II-RJUSM</v>
      </c>
      <c r="F2064" t="str">
        <f>"R$ 5.736,47"</f>
        <v>R$ 5.736,47</v>
      </c>
      <c r="G2064" t="str">
        <f>"R$ 7.457,41"</f>
        <v>R$ 7.457,41</v>
      </c>
      <c r="H2064" t="str">
        <f t="shared" si="211"/>
        <v>R$ 0,00</v>
      </c>
      <c r="I2064" t="str">
        <f>"R$ 7.457,41"</f>
        <v>R$ 7.457,41</v>
      </c>
      <c r="J2064" t="str">
        <f>"R$ 2.245,62"</f>
        <v>R$ 2.245,62</v>
      </c>
      <c r="K2064" t="str">
        <f>"R$ 5.211,79"</f>
        <v>R$ 5.211,79</v>
      </c>
    </row>
    <row r="2065" spans="1:11" x14ac:dyDescent="0.25">
      <c r="A2065" t="str">
        <f>"00009008 / 1"</f>
        <v>00009008 / 1</v>
      </c>
      <c r="B2065" t="str">
        <f>"13° Salário Anual"</f>
        <v>13° Salário Anual</v>
      </c>
      <c r="C2065" t="str">
        <f>"Vania Gualberto da Silva"</f>
        <v>Vania Gualberto da Silva</v>
      </c>
      <c r="D2065" t="str">
        <f>"PROFESSOR NIVEL II"</f>
        <v>PROFESSOR NIVEL II</v>
      </c>
      <c r="E2065" t="str">
        <f>"Efetivo-Inativo I- RJUSM"</f>
        <v>Efetivo-Inativo I- RJUSM</v>
      </c>
      <c r="F2065" t="str">
        <f>"R$ 4.267,33"</f>
        <v>R$ 4.267,33</v>
      </c>
      <c r="G2065" t="str">
        <f>"R$ 5.334,16"</f>
        <v>R$ 5.334,16</v>
      </c>
      <c r="H2065" t="str">
        <f t="shared" si="211"/>
        <v>R$ 0,00</v>
      </c>
      <c r="I2065" t="str">
        <f>"R$ 5.334,16"</f>
        <v>R$ 5.334,16</v>
      </c>
      <c r="J2065" t="str">
        <f>"R$ 2.798,36"</f>
        <v>R$ 2.798,36</v>
      </c>
      <c r="K2065" t="str">
        <f>"R$ 2.535,80"</f>
        <v>R$ 2.535,80</v>
      </c>
    </row>
    <row r="2066" spans="1:11" x14ac:dyDescent="0.25">
      <c r="A2066" t="str">
        <f>"00009008 / 1"</f>
        <v>00009008 / 1</v>
      </c>
      <c r="B2066" t="str">
        <f>"Folha Mensal"</f>
        <v>Folha Mensal</v>
      </c>
      <c r="C2066" t="str">
        <f>"Vania Gualberto da Silva"</f>
        <v>Vania Gualberto da Silva</v>
      </c>
      <c r="D2066" t="str">
        <f>"PROFESSOR NIVEL II"</f>
        <v>PROFESSOR NIVEL II</v>
      </c>
      <c r="E2066" t="str">
        <f>"Efetivo-Inativo I- RJUSM"</f>
        <v>Efetivo-Inativo I- RJUSM</v>
      </c>
      <c r="F2066" t="str">
        <f>"R$ 4.267,33"</f>
        <v>R$ 4.267,33</v>
      </c>
      <c r="G2066" t="str">
        <f>"R$ 5.334,16"</f>
        <v>R$ 5.334,16</v>
      </c>
      <c r="H2066" t="str">
        <f t="shared" si="211"/>
        <v>R$ 0,00</v>
      </c>
      <c r="I2066" t="str">
        <f>"R$ 5.334,16"</f>
        <v>R$ 5.334,16</v>
      </c>
      <c r="J2066" t="str">
        <f>"R$ 1.691,28"</f>
        <v>R$ 1.691,28</v>
      </c>
      <c r="K2066" t="str">
        <f>"R$ 3.642,88"</f>
        <v>R$ 3.642,88</v>
      </c>
    </row>
    <row r="2067" spans="1:11" x14ac:dyDescent="0.25">
      <c r="A2067" t="str">
        <f>"00054577 / 2"</f>
        <v>00054577 / 2</v>
      </c>
      <c r="B2067" t="str">
        <f>"13° Salário Anual"</f>
        <v>13° Salário Anual</v>
      </c>
      <c r="C2067" t="str">
        <f>"Vania Helisnete de Sousa Alves"</f>
        <v>Vania Helisnete de Sousa Alves</v>
      </c>
      <c r="D2067" t="str">
        <f>"PROFESSOR NIVEL III"</f>
        <v>PROFESSOR NIVEL III</v>
      </c>
      <c r="E2067" t="str">
        <f>"Efetivo-Inativos II-RJUSM"</f>
        <v>Efetivo-Inativos II-RJUSM</v>
      </c>
      <c r="F2067" t="str">
        <f>"R$ 4.182,85"</f>
        <v>R$ 4.182,85</v>
      </c>
      <c r="G2067" t="str">
        <f>"R$ 5.228,56"</f>
        <v>R$ 5.228,56</v>
      </c>
      <c r="H2067" t="str">
        <f t="shared" si="211"/>
        <v>R$ 0,00</v>
      </c>
      <c r="I2067" t="str">
        <f>"R$ 5.228,56"</f>
        <v>R$ 5.228,56</v>
      </c>
      <c r="J2067" t="str">
        <f>"R$ 3.130,63"</f>
        <v>R$ 3.130,63</v>
      </c>
      <c r="K2067" t="str">
        <f>"R$ 2.097,93"</f>
        <v>R$ 2.097,93</v>
      </c>
    </row>
    <row r="2068" spans="1:11" x14ac:dyDescent="0.25">
      <c r="A2068" t="str">
        <f>"00054577 / 2"</f>
        <v>00054577 / 2</v>
      </c>
      <c r="B2068" t="str">
        <f>"Folha Mensal"</f>
        <v>Folha Mensal</v>
      </c>
      <c r="C2068" t="str">
        <f>"Vania Helisnete de Sousa Alves"</f>
        <v>Vania Helisnete de Sousa Alves</v>
      </c>
      <c r="D2068" t="str">
        <f>"PROFESSOR NIVEL III"</f>
        <v>PROFESSOR NIVEL III</v>
      </c>
      <c r="E2068" t="str">
        <f>"Efetivo-Inativos II-RJUSM"</f>
        <v>Efetivo-Inativos II-RJUSM</v>
      </c>
      <c r="F2068" t="str">
        <f>"R$ 4.182,85"</f>
        <v>R$ 4.182,85</v>
      </c>
      <c r="G2068" t="str">
        <f>"R$ 5.228,56"</f>
        <v>R$ 5.228,56</v>
      </c>
      <c r="H2068" t="str">
        <f t="shared" si="211"/>
        <v>R$ 0,00</v>
      </c>
      <c r="I2068" t="str">
        <f>"R$ 5.228,56"</f>
        <v>R$ 5.228,56</v>
      </c>
      <c r="J2068" t="str">
        <f>"R$ 516,35"</f>
        <v>R$ 516,35</v>
      </c>
      <c r="K2068" t="str">
        <f>"R$ 4.712,21"</f>
        <v>R$ 4.712,21</v>
      </c>
    </row>
    <row r="2069" spans="1:11" x14ac:dyDescent="0.25">
      <c r="A2069" t="str">
        <f>"00026310 / 1"</f>
        <v>00026310 / 1</v>
      </c>
      <c r="B2069" t="str">
        <f>"13° Salário Anual"</f>
        <v>13° Salário Anual</v>
      </c>
      <c r="C2069" t="str">
        <f>"Vania Maria Jacques de Oeiras"</f>
        <v>Vania Maria Jacques de Oeiras</v>
      </c>
      <c r="D2069" t="str">
        <f>"PROFESSOR"</f>
        <v>PROFESSOR</v>
      </c>
      <c r="E2069" t="str">
        <f>"Efetivo-Inativo I- RJUSM"</f>
        <v>Efetivo-Inativo I- RJUSM</v>
      </c>
      <c r="F2069" t="str">
        <f>"R$ 2.297,78"</f>
        <v>R$ 2.297,78</v>
      </c>
      <c r="G2069" t="str">
        <f>"R$ 2.872,22"</f>
        <v>R$ 2.872,22</v>
      </c>
      <c r="H2069" t="str">
        <f t="shared" si="211"/>
        <v>R$ 0,00</v>
      </c>
      <c r="I2069" t="str">
        <f>"R$ 2.872,22"</f>
        <v>R$ 2.872,22</v>
      </c>
      <c r="J2069" t="str">
        <f>"R$ 1.494,50"</f>
        <v>R$ 1.494,50</v>
      </c>
      <c r="K2069" t="str">
        <f>"R$ 1.377,72"</f>
        <v>R$ 1.377,72</v>
      </c>
    </row>
    <row r="2070" spans="1:11" x14ac:dyDescent="0.25">
      <c r="A2070" t="str">
        <f>"00026310 / 1"</f>
        <v>00026310 / 1</v>
      </c>
      <c r="B2070" t="str">
        <f>"Folha Mensal"</f>
        <v>Folha Mensal</v>
      </c>
      <c r="C2070" t="str">
        <f>"Vania Maria Jacques de Oeiras"</f>
        <v>Vania Maria Jacques de Oeiras</v>
      </c>
      <c r="D2070" t="str">
        <f>"PROFESSOR"</f>
        <v>PROFESSOR</v>
      </c>
      <c r="E2070" t="str">
        <f>"Efetivo-Inativo I- RJUSM"</f>
        <v>Efetivo-Inativo I- RJUSM</v>
      </c>
      <c r="F2070" t="str">
        <f>"R$ 2.297,78"</f>
        <v>R$ 2.297,78</v>
      </c>
      <c r="G2070" t="str">
        <f>"R$ 2.872,22"</f>
        <v>R$ 2.872,22</v>
      </c>
      <c r="H2070" t="str">
        <f t="shared" si="211"/>
        <v>R$ 0,00</v>
      </c>
      <c r="I2070" t="str">
        <f>"R$ 2.872,22"</f>
        <v>R$ 2.872,22</v>
      </c>
      <c r="J2070" t="str">
        <f>"R$ 816,31"</f>
        <v>R$ 816,31</v>
      </c>
      <c r="K2070" t="str">
        <f>"R$ 2.055,91"</f>
        <v>R$ 2.055,91</v>
      </c>
    </row>
    <row r="2071" spans="1:11" x14ac:dyDescent="0.25">
      <c r="A2071" t="str">
        <f>"00013757 / 1"</f>
        <v>00013757 / 1</v>
      </c>
      <c r="B2071" t="str">
        <f>"13° Salário Anual"</f>
        <v>13° Salário Anual</v>
      </c>
      <c r="C2071" t="str">
        <f>"Vania Maria Ribeiro da Silva"</f>
        <v>Vania Maria Ribeiro da Silva</v>
      </c>
      <c r="D2071" t="str">
        <f>"PROFESSOR NIVEL II"</f>
        <v>PROFESSOR NIVEL II</v>
      </c>
      <c r="E2071" t="str">
        <f>"Efetivo-Inativos II-RJUSM"</f>
        <v>Efetivo-Inativos II-RJUSM</v>
      </c>
      <c r="F2071" t="str">
        <f>"R$ 2.868,22"</f>
        <v>R$ 2.868,22</v>
      </c>
      <c r="G2071" t="str">
        <f>"R$ 3.585,27"</f>
        <v>R$ 3.585,27</v>
      </c>
      <c r="H2071" t="str">
        <f t="shared" si="211"/>
        <v>R$ 0,00</v>
      </c>
      <c r="I2071" t="str">
        <f>"R$ 3.585,27"</f>
        <v>R$ 3.585,27</v>
      </c>
      <c r="J2071" t="str">
        <f>"R$ 1.975,62"</f>
        <v>R$ 1.975,62</v>
      </c>
      <c r="K2071" t="str">
        <f>"R$ 1.609,65"</f>
        <v>R$ 1.609,65</v>
      </c>
    </row>
    <row r="2072" spans="1:11" x14ac:dyDescent="0.25">
      <c r="A2072" t="str">
        <f>"00013757 / 1"</f>
        <v>00013757 / 1</v>
      </c>
      <c r="B2072" t="str">
        <f>"Folha Mensal"</f>
        <v>Folha Mensal</v>
      </c>
      <c r="C2072" t="str">
        <f>"Vania Maria Ribeiro da Silva"</f>
        <v>Vania Maria Ribeiro da Silva</v>
      </c>
      <c r="D2072" t="str">
        <f>"PROFESSOR NIVEL II"</f>
        <v>PROFESSOR NIVEL II</v>
      </c>
      <c r="E2072" t="str">
        <f>"Efetivo-Inativos II-RJUSM"</f>
        <v>Efetivo-Inativos II-RJUSM</v>
      </c>
      <c r="F2072" t="str">
        <f>"R$ 2.868,22"</f>
        <v>R$ 2.868,22</v>
      </c>
      <c r="G2072" t="str">
        <f>"R$ 3.585,27"</f>
        <v>R$ 3.585,27</v>
      </c>
      <c r="H2072" t="str">
        <f t="shared" si="211"/>
        <v>R$ 0,00</v>
      </c>
      <c r="I2072" t="str">
        <f>"R$ 3.585,27"</f>
        <v>R$ 3.585,27</v>
      </c>
      <c r="J2072" t="str">
        <f>"R$ 182,99"</f>
        <v>R$ 182,99</v>
      </c>
      <c r="K2072" t="str">
        <f>"R$ 3.402,28"</f>
        <v>R$ 3.402,28</v>
      </c>
    </row>
    <row r="2073" spans="1:11" x14ac:dyDescent="0.25">
      <c r="A2073" t="str">
        <f>"00217468 / 2"</f>
        <v>00217468 / 2</v>
      </c>
      <c r="B2073" t="str">
        <f>"13° Salário Anual"</f>
        <v>13° Salário Anual</v>
      </c>
      <c r="C2073" t="str">
        <f>"Vania Sueli Marcelino Mota"</f>
        <v>Vania Sueli Marcelino Mota</v>
      </c>
      <c r="D2073" t="str">
        <f>"DAS 03 B"</f>
        <v>DAS 03 B</v>
      </c>
      <c r="E2073" t="str">
        <f>"Comissionado"</f>
        <v>Comissionado</v>
      </c>
      <c r="F2073" t="str">
        <f>"R$ 1.404,28"</f>
        <v>R$ 1.404,28</v>
      </c>
      <c r="G2073" t="str">
        <f>"R$ 1.404,28"</f>
        <v>R$ 1.404,28</v>
      </c>
      <c r="H2073" t="str">
        <f t="shared" si="211"/>
        <v>R$ 0,00</v>
      </c>
      <c r="I2073" t="str">
        <f>"R$ 1.404,28"</f>
        <v>R$ 1.404,28</v>
      </c>
      <c r="J2073" t="str">
        <f>"R$ 812,02"</f>
        <v>R$ 812,02</v>
      </c>
      <c r="K2073" t="str">
        <f>"R$ 592,26"</f>
        <v>R$ 592,26</v>
      </c>
    </row>
    <row r="2074" spans="1:11" x14ac:dyDescent="0.25">
      <c r="A2074" t="str">
        <f>"00217468 / 2"</f>
        <v>00217468 / 2</v>
      </c>
      <c r="B2074" t="str">
        <f>"Folha Mensal"</f>
        <v>Folha Mensal</v>
      </c>
      <c r="C2074" t="str">
        <f>"Vania Sueli Marcelino Mota"</f>
        <v>Vania Sueli Marcelino Mota</v>
      </c>
      <c r="D2074" t="str">
        <f>"DAS 03 B"</f>
        <v>DAS 03 B</v>
      </c>
      <c r="E2074" t="str">
        <f>"Comissionado"</f>
        <v>Comissionado</v>
      </c>
      <c r="F2074" t="str">
        <f>"R$ 1.404,28"</f>
        <v>R$ 1.404,28</v>
      </c>
      <c r="G2074" t="str">
        <f>"R$ 1.404,28"</f>
        <v>R$ 1.404,28</v>
      </c>
      <c r="H2074" t="str">
        <f>"R$ 288,00"</f>
        <v>R$ 288,00</v>
      </c>
      <c r="I2074" t="str">
        <f>"R$ 1.692,28"</f>
        <v>R$ 1.692,28</v>
      </c>
      <c r="J2074" t="str">
        <f>"R$ 194,13"</f>
        <v>R$ 194,13</v>
      </c>
      <c r="K2074" t="str">
        <f>"R$ 1.498,15"</f>
        <v>R$ 1.498,15</v>
      </c>
    </row>
    <row r="2075" spans="1:11" x14ac:dyDescent="0.25">
      <c r="A2075" t="str">
        <f>"00003921 / 1"</f>
        <v>00003921 / 1</v>
      </c>
      <c r="B2075" t="str">
        <f>"13° Salário Anual"</f>
        <v>13° Salário Anual</v>
      </c>
      <c r="C2075" t="str">
        <f>"Vastil Borcem da Silva"</f>
        <v>Vastil Borcem da Silva</v>
      </c>
      <c r="D2075" t="str">
        <f>"INT TEMP CONTRIBUICAO"</f>
        <v>INT TEMP CONTRIBUICAO</v>
      </c>
      <c r="E2075" t="str">
        <f t="shared" ref="E2075:E2082" si="212">"Efetivo-Inativos II-RJUSM"</f>
        <v>Efetivo-Inativos II-RJUSM</v>
      </c>
      <c r="F2075" t="str">
        <f>"R$ 1.100,00"</f>
        <v>R$ 1.100,00</v>
      </c>
      <c r="G2075" t="str">
        <f>"R$ 1.430,00"</f>
        <v>R$ 1.430,00</v>
      </c>
      <c r="H2075" t="str">
        <f t="shared" ref="H2075:H2107" si="213">"R$ 0,00"</f>
        <v>R$ 0,00</v>
      </c>
      <c r="I2075" t="str">
        <f>"R$ 1.430,00"</f>
        <v>R$ 1.430,00</v>
      </c>
      <c r="J2075" t="str">
        <f>"R$ 715,00"</f>
        <v>R$ 715,00</v>
      </c>
      <c r="K2075" t="str">
        <f>"R$ 715,00"</f>
        <v>R$ 715,00</v>
      </c>
    </row>
    <row r="2076" spans="1:11" x14ac:dyDescent="0.25">
      <c r="A2076" t="str">
        <f>"00003921 / 1"</f>
        <v>00003921 / 1</v>
      </c>
      <c r="B2076" t="str">
        <f>"Folha Mensal"</f>
        <v>Folha Mensal</v>
      </c>
      <c r="C2076" t="str">
        <f>"Vastil Borcem da Silva"</f>
        <v>Vastil Borcem da Silva</v>
      </c>
      <c r="D2076" t="str">
        <f>"INT TEMP CONTRIBUICAO"</f>
        <v>INT TEMP CONTRIBUICAO</v>
      </c>
      <c r="E2076" t="str">
        <f t="shared" si="212"/>
        <v>Efetivo-Inativos II-RJUSM</v>
      </c>
      <c r="F2076" t="str">
        <f>"R$ 1.100,00"</f>
        <v>R$ 1.100,00</v>
      </c>
      <c r="G2076" t="str">
        <f>"R$ 1.430,00"</f>
        <v>R$ 1.430,00</v>
      </c>
      <c r="H2076" t="str">
        <f t="shared" si="213"/>
        <v>R$ 0,00</v>
      </c>
      <c r="I2076" t="str">
        <f>"R$ 1.430,00"</f>
        <v>R$ 1.430,00</v>
      </c>
      <c r="J2076" t="str">
        <f>"R$ 364,39"</f>
        <v>R$ 364,39</v>
      </c>
      <c r="K2076" t="str">
        <f>"R$ 1.065,61"</f>
        <v>R$ 1.065,61</v>
      </c>
    </row>
    <row r="2077" spans="1:11" x14ac:dyDescent="0.25">
      <c r="A2077" t="str">
        <f>"00009865 / 1"</f>
        <v>00009865 / 1</v>
      </c>
      <c r="B2077" t="str">
        <f>"13° Salário Anual"</f>
        <v>13° Salário Anual</v>
      </c>
      <c r="C2077" t="str">
        <f>"Vera Lucia Barroso do Espirito Santo"</f>
        <v>Vera Lucia Barroso do Espirito Santo</v>
      </c>
      <c r="D2077" t="str">
        <f>"PROFESSOR NIVEL III"</f>
        <v>PROFESSOR NIVEL III</v>
      </c>
      <c r="E2077" t="str">
        <f t="shared" si="212"/>
        <v>Efetivo-Inativos II-RJUSM</v>
      </c>
      <c r="F2077" t="str">
        <f>"R$ 5.895,85"</f>
        <v>R$ 5.895,85</v>
      </c>
      <c r="G2077" t="str">
        <f>"R$ 7.664,60"</f>
        <v>R$ 7.664,60</v>
      </c>
      <c r="H2077" t="str">
        <f t="shared" si="213"/>
        <v>R$ 0,00</v>
      </c>
      <c r="I2077" t="str">
        <f>"R$ 7.664,60"</f>
        <v>R$ 7.664,60</v>
      </c>
      <c r="J2077" t="str">
        <f>"R$ 5.229,40"</f>
        <v>R$ 5.229,40</v>
      </c>
      <c r="K2077" t="str">
        <f>"R$ 2.435,20"</f>
        <v>R$ 2.435,20</v>
      </c>
    </row>
    <row r="2078" spans="1:11" x14ac:dyDescent="0.25">
      <c r="A2078" t="str">
        <f>"00009865 / 1"</f>
        <v>00009865 / 1</v>
      </c>
      <c r="B2078" t="str">
        <f>"Folha Mensal"</f>
        <v>Folha Mensal</v>
      </c>
      <c r="C2078" t="str">
        <f>"Vera Lucia Barroso do Espirito Santo"</f>
        <v>Vera Lucia Barroso do Espirito Santo</v>
      </c>
      <c r="D2078" t="str">
        <f>"PROFESSOR NIVEL III"</f>
        <v>PROFESSOR NIVEL III</v>
      </c>
      <c r="E2078" t="str">
        <f t="shared" si="212"/>
        <v>Efetivo-Inativos II-RJUSM</v>
      </c>
      <c r="F2078" t="str">
        <f>"R$ 5.895,85"</f>
        <v>R$ 5.895,85</v>
      </c>
      <c r="G2078" t="str">
        <f>"R$ 7.664,60"</f>
        <v>R$ 7.664,60</v>
      </c>
      <c r="H2078" t="str">
        <f t="shared" si="213"/>
        <v>R$ 0,00</v>
      </c>
      <c r="I2078" t="str">
        <f>"R$ 7.664,60"</f>
        <v>R$ 7.664,60</v>
      </c>
      <c r="J2078" t="str">
        <f>"R$ 1.397,10"</f>
        <v>R$ 1.397,10</v>
      </c>
      <c r="K2078" t="str">
        <f>"R$ 6.267,50"</f>
        <v>R$ 6.267,50</v>
      </c>
    </row>
    <row r="2079" spans="1:11" x14ac:dyDescent="0.25">
      <c r="A2079" t="str">
        <f>"00054330 / 4"</f>
        <v>00054330 / 4</v>
      </c>
      <c r="B2079" t="str">
        <f>"13° Salário Anual"</f>
        <v>13° Salário Anual</v>
      </c>
      <c r="C2079" t="str">
        <f>"Vera Lucia Cintra Possas"</f>
        <v>Vera Lucia Cintra Possas</v>
      </c>
      <c r="D2079" t="str">
        <f>"PROFESSOR NIVEL III"</f>
        <v>PROFESSOR NIVEL III</v>
      </c>
      <c r="E2079" t="str">
        <f t="shared" si="212"/>
        <v>Efetivo-Inativos II-RJUSM</v>
      </c>
      <c r="F2079" t="str">
        <f>"R$ 5.449,65"</f>
        <v>R$ 5.449,65</v>
      </c>
      <c r="G2079" t="str">
        <f>"R$ 8.719,44"</f>
        <v>R$ 8.719,44</v>
      </c>
      <c r="H2079" t="str">
        <f t="shared" si="213"/>
        <v>R$ 0,00</v>
      </c>
      <c r="I2079" t="str">
        <f>"R$ 8.719,44"</f>
        <v>R$ 8.719,44</v>
      </c>
      <c r="J2079" t="str">
        <f>"R$ 6.153,96"</f>
        <v>R$ 6.153,96</v>
      </c>
      <c r="K2079" t="str">
        <f>"R$ 2.565,48"</f>
        <v>R$ 2.565,48</v>
      </c>
    </row>
    <row r="2080" spans="1:11" x14ac:dyDescent="0.25">
      <c r="A2080" t="str">
        <f>"00054330 / 4"</f>
        <v>00054330 / 4</v>
      </c>
      <c r="B2080" t="str">
        <f>"Folha Mensal"</f>
        <v>Folha Mensal</v>
      </c>
      <c r="C2080" t="str">
        <f>"Vera Lucia Cintra Possas"</f>
        <v>Vera Lucia Cintra Possas</v>
      </c>
      <c r="D2080" t="str">
        <f>"PROFESSOR NIVEL III"</f>
        <v>PROFESSOR NIVEL III</v>
      </c>
      <c r="E2080" t="str">
        <f t="shared" si="212"/>
        <v>Efetivo-Inativos II-RJUSM</v>
      </c>
      <c r="F2080" t="str">
        <f>"R$ 5.449,65"</f>
        <v>R$ 5.449,65</v>
      </c>
      <c r="G2080" t="str">
        <f>"R$ 10.899,30"</f>
        <v>R$ 10.899,30</v>
      </c>
      <c r="H2080" t="str">
        <f t="shared" si="213"/>
        <v>R$ 0,00</v>
      </c>
      <c r="I2080" t="str">
        <f>"R$ 10.899,30"</f>
        <v>R$ 10.899,30</v>
      </c>
      <c r="J2080" t="str">
        <f>"R$ 1.794,24"</f>
        <v>R$ 1.794,24</v>
      </c>
      <c r="K2080" t="str">
        <f>"R$ 9.105,06"</f>
        <v>R$ 9.105,06</v>
      </c>
    </row>
    <row r="2081" spans="1:11" x14ac:dyDescent="0.25">
      <c r="A2081" t="str">
        <f>"00054011 / 1"</f>
        <v>00054011 / 1</v>
      </c>
      <c r="B2081" t="str">
        <f>"13° Salário Anual"</f>
        <v>13° Salário Anual</v>
      </c>
      <c r="C2081" t="str">
        <f>"Vera Lucia Coelho Ferreira"</f>
        <v>Vera Lucia Coelho Ferreira</v>
      </c>
      <c r="D2081" t="str">
        <f>"PROFESSOR NIVEL II"</f>
        <v>PROFESSOR NIVEL II</v>
      </c>
      <c r="E2081" t="str">
        <f t="shared" si="212"/>
        <v>Efetivo-Inativos II-RJUSM</v>
      </c>
      <c r="F2081" t="str">
        <f>"R$ 5.099,09"</f>
        <v>R$ 5.099,09</v>
      </c>
      <c r="G2081" t="str">
        <f>"R$ 6.118,90"</f>
        <v>R$ 6.118,90</v>
      </c>
      <c r="H2081" t="str">
        <f t="shared" si="213"/>
        <v>R$ 0,00</v>
      </c>
      <c r="I2081" t="str">
        <f>"R$ 6.118,90"</f>
        <v>R$ 6.118,90</v>
      </c>
      <c r="J2081" t="str">
        <f>"R$ 3.874,59"</f>
        <v>R$ 3.874,59</v>
      </c>
      <c r="K2081" t="str">
        <f>"R$ 2.244,31"</f>
        <v>R$ 2.244,31</v>
      </c>
    </row>
    <row r="2082" spans="1:11" x14ac:dyDescent="0.25">
      <c r="A2082" t="str">
        <f>"00054011 / 1"</f>
        <v>00054011 / 1</v>
      </c>
      <c r="B2082" t="str">
        <f>"Folha Mensal"</f>
        <v>Folha Mensal</v>
      </c>
      <c r="C2082" t="str">
        <f>"Vera Lucia Coelho Ferreira"</f>
        <v>Vera Lucia Coelho Ferreira</v>
      </c>
      <c r="D2082" t="str">
        <f>"PROFESSOR NIVEL II"</f>
        <v>PROFESSOR NIVEL II</v>
      </c>
      <c r="E2082" t="str">
        <f t="shared" si="212"/>
        <v>Efetivo-Inativos II-RJUSM</v>
      </c>
      <c r="F2082" t="str">
        <f>"R$ 5.099,09"</f>
        <v>R$ 5.099,09</v>
      </c>
      <c r="G2082" t="str">
        <f>"R$ 6.118,90"</f>
        <v>R$ 6.118,90</v>
      </c>
      <c r="H2082" t="str">
        <f t="shared" si="213"/>
        <v>R$ 0,00</v>
      </c>
      <c r="I2082" t="str">
        <f>"R$ 6.118,90"</f>
        <v>R$ 6.118,90</v>
      </c>
      <c r="J2082" t="str">
        <f>"R$ 1.784,64"</f>
        <v>R$ 1.784,64</v>
      </c>
      <c r="K2082" t="str">
        <f>"R$ 4.334,26"</f>
        <v>R$ 4.334,26</v>
      </c>
    </row>
    <row r="2083" spans="1:11" x14ac:dyDescent="0.25">
      <c r="A2083" t="str">
        <f>"00034142 / 1"</f>
        <v>00034142 / 1</v>
      </c>
      <c r="B2083" t="str">
        <f>"13° Salário Anual"</f>
        <v>13° Salário Anual</v>
      </c>
      <c r="C2083" t="str">
        <f>"Vera Lucia da Costa"</f>
        <v>Vera Lucia da Costa</v>
      </c>
      <c r="D2083" t="str">
        <f>"PROFESSOR"</f>
        <v>PROFESSOR</v>
      </c>
      <c r="E2083" t="str">
        <f>"Efetivo-Inativo I- RJUSM"</f>
        <v>Efetivo-Inativo I- RJUSM</v>
      </c>
      <c r="F2083" t="str">
        <f>"R$ 2.071,51"</f>
        <v>R$ 2.071,51</v>
      </c>
      <c r="G2083" t="str">
        <f>"R$ 2.589,38"</f>
        <v>R$ 2.589,38</v>
      </c>
      <c r="H2083" t="str">
        <f t="shared" si="213"/>
        <v>R$ 0,00</v>
      </c>
      <c r="I2083" t="str">
        <f>"R$ 2.589,38"</f>
        <v>R$ 2.589,38</v>
      </c>
      <c r="J2083" t="str">
        <f>"R$ 1.331,87"</f>
        <v>R$ 1.331,87</v>
      </c>
      <c r="K2083" t="str">
        <f>"R$ 1.257,51"</f>
        <v>R$ 1.257,51</v>
      </c>
    </row>
    <row r="2084" spans="1:11" x14ac:dyDescent="0.25">
      <c r="A2084" t="str">
        <f>"00034142 / 1"</f>
        <v>00034142 / 1</v>
      </c>
      <c r="B2084" t="str">
        <f>"Folha Mensal"</f>
        <v>Folha Mensal</v>
      </c>
      <c r="C2084" t="str">
        <f>"Vera Lucia da Costa"</f>
        <v>Vera Lucia da Costa</v>
      </c>
      <c r="D2084" t="str">
        <f>"PROFESSOR"</f>
        <v>PROFESSOR</v>
      </c>
      <c r="E2084" t="str">
        <f>"Efetivo-Inativo I- RJUSM"</f>
        <v>Efetivo-Inativo I- RJUSM</v>
      </c>
      <c r="F2084" t="str">
        <f>"R$ 2.071,51"</f>
        <v>R$ 2.071,51</v>
      </c>
      <c r="G2084" t="str">
        <f>"R$ 2.589,38"</f>
        <v>R$ 2.589,38</v>
      </c>
      <c r="H2084" t="str">
        <f t="shared" si="213"/>
        <v>R$ 0,00</v>
      </c>
      <c r="I2084" t="str">
        <f>"R$ 2.589,38"</f>
        <v>R$ 2.589,38</v>
      </c>
      <c r="J2084" t="str">
        <f>"R$ 37,18"</f>
        <v>R$ 37,18</v>
      </c>
      <c r="K2084" t="str">
        <f>"R$ 2.552,20"</f>
        <v>R$ 2.552,20</v>
      </c>
    </row>
    <row r="2085" spans="1:11" x14ac:dyDescent="0.25">
      <c r="A2085" t="str">
        <f>"00013480 / 1"</f>
        <v>00013480 / 1</v>
      </c>
      <c r="B2085" t="str">
        <f>"13° Salário Anual"</f>
        <v>13° Salário Anual</v>
      </c>
      <c r="C2085" t="str">
        <f>"Vera Lucia da Silva"</f>
        <v>Vera Lucia da Silva</v>
      </c>
      <c r="D2085" t="str">
        <f>"PEDAGOGO NIVEL II"</f>
        <v>PEDAGOGO NIVEL II</v>
      </c>
      <c r="E2085" t="str">
        <f>"Efetivo-Inativo I- RJUSM"</f>
        <v>Efetivo-Inativo I- RJUSM</v>
      </c>
      <c r="F2085" t="str">
        <f>"R$ 5.417,81"</f>
        <v>R$ 5.417,81</v>
      </c>
      <c r="G2085" t="str">
        <f>"R$ 6.772,26"</f>
        <v>R$ 6.772,26</v>
      </c>
      <c r="H2085" t="str">
        <f t="shared" si="213"/>
        <v>R$ 0,00</v>
      </c>
      <c r="I2085" t="str">
        <f>"R$ 6.772,26"</f>
        <v>R$ 6.772,26</v>
      </c>
      <c r="J2085" t="str">
        <f>"R$ 4.395,12"</f>
        <v>R$ 4.395,12</v>
      </c>
      <c r="K2085" t="str">
        <f>"R$ 2.377,14"</f>
        <v>R$ 2.377,14</v>
      </c>
    </row>
    <row r="2086" spans="1:11" x14ac:dyDescent="0.25">
      <c r="A2086" t="str">
        <f>"00013480 / 1"</f>
        <v>00013480 / 1</v>
      </c>
      <c r="B2086" t="str">
        <f>"Folha Mensal"</f>
        <v>Folha Mensal</v>
      </c>
      <c r="C2086" t="str">
        <f>"Vera Lucia da Silva"</f>
        <v>Vera Lucia da Silva</v>
      </c>
      <c r="D2086" t="str">
        <f>"PEDAGOGO NIVEL II"</f>
        <v>PEDAGOGO NIVEL II</v>
      </c>
      <c r="E2086" t="str">
        <f>"Efetivo-Inativo I- RJUSM"</f>
        <v>Efetivo-Inativo I- RJUSM</v>
      </c>
      <c r="F2086" t="str">
        <f>"R$ 5.417,81"</f>
        <v>R$ 5.417,81</v>
      </c>
      <c r="G2086" t="str">
        <f>"R$ 6.772,26"</f>
        <v>R$ 6.772,26</v>
      </c>
      <c r="H2086" t="str">
        <f t="shared" si="213"/>
        <v>R$ 0,00</v>
      </c>
      <c r="I2086" t="str">
        <f>"R$ 6.772,26"</f>
        <v>R$ 6.772,26</v>
      </c>
      <c r="J2086" t="str">
        <f>"R$ 3.016,39"</f>
        <v>R$ 3.016,39</v>
      </c>
      <c r="K2086" t="str">
        <f>"R$ 3.755,87"</f>
        <v>R$ 3.755,87</v>
      </c>
    </row>
    <row r="2087" spans="1:11" x14ac:dyDescent="0.25">
      <c r="A2087" t="str">
        <f>"00026328 / 1"</f>
        <v>00026328 / 1</v>
      </c>
      <c r="B2087" t="str">
        <f>"13° Salário Anual"</f>
        <v>13° Salário Anual</v>
      </c>
      <c r="C2087" t="str">
        <f>"Vera Lucia de Lima Braga"</f>
        <v>Vera Lucia de Lima Braga</v>
      </c>
      <c r="D2087" t="str">
        <f>"PROFESSOR NIVEL III"</f>
        <v>PROFESSOR NIVEL III</v>
      </c>
      <c r="E2087" t="str">
        <f t="shared" ref="E2087:E2092" si="214">"Efetivo-Inativos II-RJUSM"</f>
        <v>Efetivo-Inativos II-RJUSM</v>
      </c>
      <c r="F2087" t="str">
        <f>"R$ 6.055,17"</f>
        <v>R$ 6.055,17</v>
      </c>
      <c r="G2087" t="str">
        <f>"R$ 7.871,72"</f>
        <v>R$ 7.871,72</v>
      </c>
      <c r="H2087" t="str">
        <f t="shared" si="213"/>
        <v>R$ 0,00</v>
      </c>
      <c r="I2087" t="str">
        <f>"R$ 7.871,72"</f>
        <v>R$ 7.871,72</v>
      </c>
      <c r="J2087" t="str">
        <f>"R$ 5.410,94"</f>
        <v>R$ 5.410,94</v>
      </c>
      <c r="K2087" t="str">
        <f>"R$ 2.460,78"</f>
        <v>R$ 2.460,78</v>
      </c>
    </row>
    <row r="2088" spans="1:11" x14ac:dyDescent="0.25">
      <c r="A2088" t="str">
        <f>"00026328 / 1"</f>
        <v>00026328 / 1</v>
      </c>
      <c r="B2088" t="str">
        <f>"Folha Mensal"</f>
        <v>Folha Mensal</v>
      </c>
      <c r="C2088" t="str">
        <f>"Vera Lucia de Lima Braga"</f>
        <v>Vera Lucia de Lima Braga</v>
      </c>
      <c r="D2088" t="str">
        <f>"PROFESSOR NIVEL III"</f>
        <v>PROFESSOR NIVEL III</v>
      </c>
      <c r="E2088" t="str">
        <f t="shared" si="214"/>
        <v>Efetivo-Inativos II-RJUSM</v>
      </c>
      <c r="F2088" t="str">
        <f>"R$ 6.055,17"</f>
        <v>R$ 6.055,17</v>
      </c>
      <c r="G2088" t="str">
        <f>"R$ 7.871,72"</f>
        <v>R$ 7.871,72</v>
      </c>
      <c r="H2088" t="str">
        <f t="shared" si="213"/>
        <v>R$ 0,00</v>
      </c>
      <c r="I2088" t="str">
        <f>"R$ 7.871,72"</f>
        <v>R$ 7.871,72</v>
      </c>
      <c r="J2088" t="str">
        <f>"R$ 1.475,08"</f>
        <v>R$ 1.475,08</v>
      </c>
      <c r="K2088" t="str">
        <f>"R$ 6.396,64"</f>
        <v>R$ 6.396,64</v>
      </c>
    </row>
    <row r="2089" spans="1:11" x14ac:dyDescent="0.25">
      <c r="A2089" t="str">
        <f>"00058009 / 2"</f>
        <v>00058009 / 2</v>
      </c>
      <c r="B2089" t="str">
        <f>"13° Salário Anual"</f>
        <v>13° Salário Anual</v>
      </c>
      <c r="C2089" t="str">
        <f>"Vera Lucia Ferreira Raiol"</f>
        <v>Vera Lucia Ferreira Raiol</v>
      </c>
      <c r="D2089" t="str">
        <f>"PROFESSOR NIVEL II"</f>
        <v>PROFESSOR NIVEL II</v>
      </c>
      <c r="E2089" t="str">
        <f t="shared" si="214"/>
        <v>Efetivo-Inativos II-RJUSM</v>
      </c>
      <c r="F2089" t="str">
        <f>"R$ 5.258,44"</f>
        <v>R$ 5.258,44</v>
      </c>
      <c r="G2089" t="str">
        <f>"R$ 6.310,12"</f>
        <v>R$ 6.310,12</v>
      </c>
      <c r="H2089" t="str">
        <f t="shared" si="213"/>
        <v>R$ 0,00</v>
      </c>
      <c r="I2089" t="str">
        <f>"R$ 6.310,12"</f>
        <v>R$ 6.310,12</v>
      </c>
      <c r="J2089" t="str">
        <f>"R$ 3.532,98"</f>
        <v>R$ 3.532,98</v>
      </c>
      <c r="K2089" t="str">
        <f>"R$ 2.777,14"</f>
        <v>R$ 2.777,14</v>
      </c>
    </row>
    <row r="2090" spans="1:11" x14ac:dyDescent="0.25">
      <c r="A2090" t="str">
        <f>"00058009 / 2"</f>
        <v>00058009 / 2</v>
      </c>
      <c r="B2090" t="str">
        <f>"Folha Mensal"</f>
        <v>Folha Mensal</v>
      </c>
      <c r="C2090" t="str">
        <f>"Vera Lucia Ferreira Raiol"</f>
        <v>Vera Lucia Ferreira Raiol</v>
      </c>
      <c r="D2090" t="str">
        <f>"PROFESSOR NIVEL II"</f>
        <v>PROFESSOR NIVEL II</v>
      </c>
      <c r="E2090" t="str">
        <f t="shared" si="214"/>
        <v>Efetivo-Inativos II-RJUSM</v>
      </c>
      <c r="F2090" t="str">
        <f>"R$ 5.258,44"</f>
        <v>R$ 5.258,44</v>
      </c>
      <c r="G2090" t="str">
        <f>"R$ 6.310,12"</f>
        <v>R$ 6.310,12</v>
      </c>
      <c r="H2090" t="str">
        <f t="shared" si="213"/>
        <v>R$ 0,00</v>
      </c>
      <c r="I2090" t="str">
        <f>"R$ 6.310,12"</f>
        <v>R$ 6.310,12</v>
      </c>
      <c r="J2090" t="str">
        <f>"R$ 377,92"</f>
        <v>R$ 377,92</v>
      </c>
      <c r="K2090" t="str">
        <f>"R$ 5.932,20"</f>
        <v>R$ 5.932,20</v>
      </c>
    </row>
    <row r="2091" spans="1:11" x14ac:dyDescent="0.25">
      <c r="A2091" t="str">
        <f>"00058130 / 2"</f>
        <v>00058130 / 2</v>
      </c>
      <c r="B2091" t="str">
        <f>"13° Salário Anual"</f>
        <v>13° Salário Anual</v>
      </c>
      <c r="C2091" t="str">
        <f>"Vera Lucia Gomes Vieira"</f>
        <v>Vera Lucia Gomes Vieira</v>
      </c>
      <c r="D2091" t="str">
        <f>"PROFESSOR NIVEL III"</f>
        <v>PROFESSOR NIVEL III</v>
      </c>
      <c r="E2091" t="str">
        <f t="shared" si="214"/>
        <v>Efetivo-Inativos II-RJUSM</v>
      </c>
      <c r="F2091" t="str">
        <f>"R$ 5.577,15"</f>
        <v>R$ 5.577,15</v>
      </c>
      <c r="G2091" t="str">
        <f>"R$ 6.692,58"</f>
        <v>R$ 6.692,58</v>
      </c>
      <c r="H2091" t="str">
        <f t="shared" si="213"/>
        <v>R$ 0,00</v>
      </c>
      <c r="I2091" t="str">
        <f>"R$ 6.692,58"</f>
        <v>R$ 6.692,58</v>
      </c>
      <c r="J2091" t="str">
        <f>"R$ 4.377,42"</f>
        <v>R$ 4.377,42</v>
      </c>
      <c r="K2091" t="str">
        <f>"R$ 2.315,16"</f>
        <v>R$ 2.315,16</v>
      </c>
    </row>
    <row r="2092" spans="1:11" x14ac:dyDescent="0.25">
      <c r="A2092" t="str">
        <f>"00058130 / 2"</f>
        <v>00058130 / 2</v>
      </c>
      <c r="B2092" t="str">
        <f>"Folha Mensal"</f>
        <v>Folha Mensal</v>
      </c>
      <c r="C2092" t="str">
        <f>"Vera Lucia Gomes Vieira"</f>
        <v>Vera Lucia Gomes Vieira</v>
      </c>
      <c r="D2092" t="str">
        <f>"PROFESSOR NIVEL III"</f>
        <v>PROFESSOR NIVEL III</v>
      </c>
      <c r="E2092" t="str">
        <f t="shared" si="214"/>
        <v>Efetivo-Inativos II-RJUSM</v>
      </c>
      <c r="F2092" t="str">
        <f>"R$ 5.577,15"</f>
        <v>R$ 5.577,15</v>
      </c>
      <c r="G2092" t="str">
        <f>"R$ 6.692,58"</f>
        <v>R$ 6.692,58</v>
      </c>
      <c r="H2092" t="str">
        <f t="shared" si="213"/>
        <v>R$ 0,00</v>
      </c>
      <c r="I2092" t="str">
        <f>"R$ 6.692,58"</f>
        <v>R$ 6.692,58</v>
      </c>
      <c r="J2092" t="str">
        <f>"R$ 2.988,06"</f>
        <v>R$ 2.988,06</v>
      </c>
      <c r="K2092" t="str">
        <f>"R$ 3.704,52"</f>
        <v>R$ 3.704,52</v>
      </c>
    </row>
    <row r="2093" spans="1:11" x14ac:dyDescent="0.25">
      <c r="A2093" t="str">
        <f>"00004464 / 1"</f>
        <v>00004464 / 1</v>
      </c>
      <c r="B2093" t="str">
        <f>"13° Salário Anual"</f>
        <v>13° Salário Anual</v>
      </c>
      <c r="C2093" t="str">
        <f>"Vera Maria Barbosa Pereira"</f>
        <v>Vera Maria Barbosa Pereira</v>
      </c>
      <c r="D2093" t="str">
        <f>"INT TEMP CONTRIBUICAO"</f>
        <v>INT TEMP CONTRIBUICAO</v>
      </c>
      <c r="E2093" t="str">
        <f t="shared" ref="E2093:E2098" si="215">"Efetivo-Inativo I- RJUSM"</f>
        <v>Efetivo-Inativo I- RJUSM</v>
      </c>
      <c r="F2093" t="str">
        <f>"R$ 1.100,00"</f>
        <v>R$ 1.100,00</v>
      </c>
      <c r="G2093" t="str">
        <f>"R$ 1.430,00"</f>
        <v>R$ 1.430,00</v>
      </c>
      <c r="H2093" t="str">
        <f t="shared" si="213"/>
        <v>R$ 0,00</v>
      </c>
      <c r="I2093" t="str">
        <f>"R$ 1.430,00"</f>
        <v>R$ 1.430,00</v>
      </c>
      <c r="J2093" t="str">
        <f>"R$ 715,00"</f>
        <v>R$ 715,00</v>
      </c>
      <c r="K2093" t="str">
        <f>"R$ 715,00"</f>
        <v>R$ 715,00</v>
      </c>
    </row>
    <row r="2094" spans="1:11" x14ac:dyDescent="0.25">
      <c r="A2094" t="str">
        <f>"00004464 / 1"</f>
        <v>00004464 / 1</v>
      </c>
      <c r="B2094" t="str">
        <f>"Folha Mensal"</f>
        <v>Folha Mensal</v>
      </c>
      <c r="C2094" t="str">
        <f>"Vera Maria Barbosa Pereira"</f>
        <v>Vera Maria Barbosa Pereira</v>
      </c>
      <c r="D2094" t="str">
        <f>"INT TEMP CONTRIBUICAO"</f>
        <v>INT TEMP CONTRIBUICAO</v>
      </c>
      <c r="E2094" t="str">
        <f t="shared" si="215"/>
        <v>Efetivo-Inativo I- RJUSM</v>
      </c>
      <c r="F2094" t="str">
        <f>"R$ 1.100,00"</f>
        <v>R$ 1.100,00</v>
      </c>
      <c r="G2094" t="str">
        <f>"R$ 1.430,00"</f>
        <v>R$ 1.430,00</v>
      </c>
      <c r="H2094" t="str">
        <f t="shared" si="213"/>
        <v>R$ 0,00</v>
      </c>
      <c r="I2094" t="str">
        <f>"R$ 1.430,00"</f>
        <v>R$ 1.430,00</v>
      </c>
      <c r="J2094" t="str">
        <f>"R$ 380,49"</f>
        <v>R$ 380,49</v>
      </c>
      <c r="K2094" t="str">
        <f>"R$ 1.049,51"</f>
        <v>R$ 1.049,51</v>
      </c>
    </row>
    <row r="2095" spans="1:11" x14ac:dyDescent="0.25">
      <c r="A2095" t="str">
        <f>"00025410 / 1"</f>
        <v>00025410 / 1</v>
      </c>
      <c r="B2095" t="str">
        <f>"13° Salário Anual"</f>
        <v>13° Salário Anual</v>
      </c>
      <c r="C2095" t="str">
        <f>"Vera Maria Soares da Rocha"</f>
        <v>Vera Maria Soares da Rocha</v>
      </c>
      <c r="D2095" t="str">
        <f>"PROFESSOR"</f>
        <v>PROFESSOR</v>
      </c>
      <c r="E2095" t="str">
        <f t="shared" si="215"/>
        <v>Efetivo-Inativo I- RJUSM</v>
      </c>
      <c r="F2095" t="str">
        <f>"R$ 1.673,12"</f>
        <v>R$ 1.673,12</v>
      </c>
      <c r="G2095" t="str">
        <f>"R$ 2.091,40"</f>
        <v>R$ 2.091,40</v>
      </c>
      <c r="H2095" t="str">
        <f t="shared" si="213"/>
        <v>R$ 0,00</v>
      </c>
      <c r="I2095" t="str">
        <f>"R$ 2.091,40"</f>
        <v>R$ 2.091,40</v>
      </c>
      <c r="J2095" t="str">
        <f>"R$ 1.045,70"</f>
        <v>R$ 1.045,70</v>
      </c>
      <c r="K2095" t="str">
        <f>"R$ 1.045,70"</f>
        <v>R$ 1.045,70</v>
      </c>
    </row>
    <row r="2096" spans="1:11" x14ac:dyDescent="0.25">
      <c r="A2096" t="str">
        <f>"00025410 / 1"</f>
        <v>00025410 / 1</v>
      </c>
      <c r="B2096" t="str">
        <f>"Folha Mensal"</f>
        <v>Folha Mensal</v>
      </c>
      <c r="C2096" t="str">
        <f>"Vera Maria Soares da Rocha"</f>
        <v>Vera Maria Soares da Rocha</v>
      </c>
      <c r="D2096" t="str">
        <f>"PROFESSOR"</f>
        <v>PROFESSOR</v>
      </c>
      <c r="E2096" t="str">
        <f t="shared" si="215"/>
        <v>Efetivo-Inativo I- RJUSM</v>
      </c>
      <c r="F2096" t="str">
        <f>"R$ 1.673,12"</f>
        <v>R$ 1.673,12</v>
      </c>
      <c r="G2096" t="str">
        <f>"R$ 2.091,40"</f>
        <v>R$ 2.091,40</v>
      </c>
      <c r="H2096" t="str">
        <f t="shared" si="213"/>
        <v>R$ 0,00</v>
      </c>
      <c r="I2096" t="str">
        <f>"R$ 2.091,40"</f>
        <v>R$ 2.091,40</v>
      </c>
      <c r="J2096" t="str">
        <f>"R$ 728,44"</f>
        <v>R$ 728,44</v>
      </c>
      <c r="K2096" t="str">
        <f>"R$ 1.362,96"</f>
        <v>R$ 1.362,96</v>
      </c>
    </row>
    <row r="2097" spans="1:11" x14ac:dyDescent="0.25">
      <c r="A2097" t="str">
        <f>"00027782 / 2"</f>
        <v>00027782 / 2</v>
      </c>
      <c r="B2097" t="str">
        <f>"13° Salário Anual"</f>
        <v>13° Salário Anual</v>
      </c>
      <c r="C2097" t="str">
        <f>"Verangela do Socorro Almeida Mendes"</f>
        <v>Verangela do Socorro Almeida Mendes</v>
      </c>
      <c r="D2097" t="str">
        <f>"PROFESSOR"</f>
        <v>PROFESSOR</v>
      </c>
      <c r="E2097" t="str">
        <f t="shared" si="215"/>
        <v>Efetivo-Inativo I- RJUSM</v>
      </c>
      <c r="F2097" t="str">
        <f>"R$ 1.627,85"</f>
        <v>R$ 1.627,85</v>
      </c>
      <c r="G2097" t="str">
        <f>"R$ 1.627,85"</f>
        <v>R$ 1.627,85</v>
      </c>
      <c r="H2097" t="str">
        <f t="shared" si="213"/>
        <v>R$ 0,00</v>
      </c>
      <c r="I2097" t="str">
        <f>"R$ 1.627,85"</f>
        <v>R$ 1.627,85</v>
      </c>
      <c r="J2097" t="str">
        <f>"R$ 813,92"</f>
        <v>R$ 813,92</v>
      </c>
      <c r="K2097" t="str">
        <f>"R$ 813,93"</f>
        <v>R$ 813,93</v>
      </c>
    </row>
    <row r="2098" spans="1:11" x14ac:dyDescent="0.25">
      <c r="A2098" t="str">
        <f>"00027782 / 2"</f>
        <v>00027782 / 2</v>
      </c>
      <c r="B2098" t="str">
        <f>"Folha Mensal"</f>
        <v>Folha Mensal</v>
      </c>
      <c r="C2098" t="str">
        <f>"Verangela do Socorro Almeida Mendes"</f>
        <v>Verangela do Socorro Almeida Mendes</v>
      </c>
      <c r="D2098" t="str">
        <f>"PROFESSOR"</f>
        <v>PROFESSOR</v>
      </c>
      <c r="E2098" t="str">
        <f t="shared" si="215"/>
        <v>Efetivo-Inativo I- RJUSM</v>
      </c>
      <c r="F2098" t="str">
        <f>"R$ 1.627,85"</f>
        <v>R$ 1.627,85</v>
      </c>
      <c r="G2098" t="str">
        <f>"R$ 1.627,85"</f>
        <v>R$ 1.627,85</v>
      </c>
      <c r="H2098" t="str">
        <f t="shared" si="213"/>
        <v>R$ 0,00</v>
      </c>
      <c r="I2098" t="str">
        <f>"R$ 1.627,85"</f>
        <v>R$ 1.627,85</v>
      </c>
      <c r="J2098" t="str">
        <f>"R$ 0,00"</f>
        <v>R$ 0,00</v>
      </c>
      <c r="K2098" t="str">
        <f>"R$ 1.627,85"</f>
        <v>R$ 1.627,85</v>
      </c>
    </row>
    <row r="2099" spans="1:11" x14ac:dyDescent="0.25">
      <c r="A2099" t="str">
        <f>"03640108 / 1"</f>
        <v>03640108 / 1</v>
      </c>
      <c r="B2099" t="str">
        <f>"13° Salário Anual"</f>
        <v>13° Salário Anual</v>
      </c>
      <c r="C2099" t="str">
        <f>"Victor Moraes Cabral Lobato"</f>
        <v>Victor Moraes Cabral Lobato</v>
      </c>
      <c r="D2099" t="str">
        <f>"PENS TEMP ATE 27/01/2035"</f>
        <v>PENS TEMP ATE 27/01/2035</v>
      </c>
      <c r="E2099" t="str">
        <f>"Pensionista"</f>
        <v>Pensionista</v>
      </c>
      <c r="F2099" t="str">
        <f>"R$ 1.398,49"</f>
        <v>R$ 1.398,49</v>
      </c>
      <c r="G2099" t="str">
        <f>"R$ 1.468,41"</f>
        <v>R$ 1.468,41</v>
      </c>
      <c r="H2099" t="str">
        <f t="shared" si="213"/>
        <v>R$ 0,00</v>
      </c>
      <c r="I2099" t="str">
        <f>"R$ 1.468,41"</f>
        <v>R$ 1.468,41</v>
      </c>
      <c r="J2099" t="str">
        <f>"R$ 734,20"</f>
        <v>R$ 734,20</v>
      </c>
      <c r="K2099" t="str">
        <f>"R$ 734,21"</f>
        <v>R$ 734,21</v>
      </c>
    </row>
    <row r="2100" spans="1:11" x14ac:dyDescent="0.25">
      <c r="A2100" t="str">
        <f>"03640108 / 1"</f>
        <v>03640108 / 1</v>
      </c>
      <c r="B2100" t="str">
        <f>"Folha Mensal"</f>
        <v>Folha Mensal</v>
      </c>
      <c r="C2100" t="str">
        <f>"Victor Moraes Cabral Lobato"</f>
        <v>Victor Moraes Cabral Lobato</v>
      </c>
      <c r="D2100" t="str">
        <f>"PENS TEMP ATE 27/01/2035"</f>
        <v>PENS TEMP ATE 27/01/2035</v>
      </c>
      <c r="E2100" t="str">
        <f>"Pensionista"</f>
        <v>Pensionista</v>
      </c>
      <c r="F2100" t="str">
        <f>"R$ 1.398,49"</f>
        <v>R$ 1.398,49</v>
      </c>
      <c r="G2100" t="str">
        <f>"R$ 1.468,41"</f>
        <v>R$ 1.468,41</v>
      </c>
      <c r="H2100" t="str">
        <f t="shared" si="213"/>
        <v>R$ 0,00</v>
      </c>
      <c r="I2100" t="str">
        <f>"R$ 1.468,41"</f>
        <v>R$ 1.468,41</v>
      </c>
      <c r="J2100" t="str">
        <f>"R$ 0,00"</f>
        <v>R$ 0,00</v>
      </c>
      <c r="K2100" t="str">
        <f>"R$ 1.468,41"</f>
        <v>R$ 1.468,41</v>
      </c>
    </row>
    <row r="2101" spans="1:11" x14ac:dyDescent="0.25">
      <c r="A2101" t="str">
        <f>"00051624 / 1"</f>
        <v>00051624 / 1</v>
      </c>
      <c r="B2101" t="str">
        <f>"13° Salário Anual"</f>
        <v>13° Salário Anual</v>
      </c>
      <c r="C2101" t="str">
        <f>"Vilma Madalena Campos dos Anjos"</f>
        <v>Vilma Madalena Campos dos Anjos</v>
      </c>
      <c r="D2101" t="str">
        <f>"PROFESSOR NIVEL II"</f>
        <v>PROFESSOR NIVEL II</v>
      </c>
      <c r="E2101" t="str">
        <f>"Efetivo-Inativos II-RJUSM"</f>
        <v>Efetivo-Inativos II-RJUSM</v>
      </c>
      <c r="F2101" t="str">
        <f>"R$ 5.099,09"</f>
        <v>R$ 5.099,09</v>
      </c>
      <c r="G2101" t="str">
        <f>"R$ 6.118,90"</f>
        <v>R$ 6.118,90</v>
      </c>
      <c r="H2101" t="str">
        <f t="shared" si="213"/>
        <v>R$ 0,00</v>
      </c>
      <c r="I2101" t="str">
        <f>"R$ 6.118,90"</f>
        <v>R$ 6.118,90</v>
      </c>
      <c r="J2101" t="str">
        <f>"R$ 3.822,45"</f>
        <v>R$ 3.822,45</v>
      </c>
      <c r="K2101" t="str">
        <f>"R$ 2.296,45"</f>
        <v>R$ 2.296,45</v>
      </c>
    </row>
    <row r="2102" spans="1:11" x14ac:dyDescent="0.25">
      <c r="A2102" t="str">
        <f>"00051624 / 1"</f>
        <v>00051624 / 1</v>
      </c>
      <c r="B2102" t="str">
        <f>"Folha Mensal"</f>
        <v>Folha Mensal</v>
      </c>
      <c r="C2102" t="str">
        <f>"Vilma Madalena Campos dos Anjos"</f>
        <v>Vilma Madalena Campos dos Anjos</v>
      </c>
      <c r="D2102" t="str">
        <f>"PROFESSOR NIVEL II"</f>
        <v>PROFESSOR NIVEL II</v>
      </c>
      <c r="E2102" t="str">
        <f>"Efetivo-Inativos II-RJUSM"</f>
        <v>Efetivo-Inativos II-RJUSM</v>
      </c>
      <c r="F2102" t="str">
        <f>"R$ 5.099,09"</f>
        <v>R$ 5.099,09</v>
      </c>
      <c r="G2102" t="str">
        <f>"R$ 6.118,90"</f>
        <v>R$ 6.118,90</v>
      </c>
      <c r="H2102" t="str">
        <f t="shared" si="213"/>
        <v>R$ 0,00</v>
      </c>
      <c r="I2102" t="str">
        <f>"R$ 6.118,90"</f>
        <v>R$ 6.118,90</v>
      </c>
      <c r="J2102" t="str">
        <f>"R$ 2.858,62"</f>
        <v>R$ 2.858,62</v>
      </c>
      <c r="K2102" t="str">
        <f>"R$ 3.260,28"</f>
        <v>R$ 3.260,28</v>
      </c>
    </row>
    <row r="2103" spans="1:11" x14ac:dyDescent="0.25">
      <c r="A2103" t="str">
        <f>"03642968 / 1"</f>
        <v>03642968 / 1</v>
      </c>
      <c r="B2103" t="str">
        <f>"13° Salário Anual"</f>
        <v>13° Salário Anual</v>
      </c>
      <c r="C2103" t="str">
        <f>"Virginia do Nascimento Rodrigues"</f>
        <v>Virginia do Nascimento Rodrigues</v>
      </c>
      <c r="D2103" t="str">
        <f>"PENSIONISTA"</f>
        <v>PENSIONISTA</v>
      </c>
      <c r="E2103" t="str">
        <f>"Pensionista"</f>
        <v>Pensionista</v>
      </c>
      <c r="F2103" t="str">
        <f>"R$ 1.674,47"</f>
        <v>R$ 1.674,47</v>
      </c>
      <c r="G2103" t="str">
        <f>"R$ 1.674,47"</f>
        <v>R$ 1.674,47</v>
      </c>
      <c r="H2103" t="str">
        <f t="shared" si="213"/>
        <v>R$ 0,00</v>
      </c>
      <c r="I2103" t="str">
        <f>"R$ 1.674,47"</f>
        <v>R$ 1.674,47</v>
      </c>
      <c r="J2103" t="str">
        <f>"R$ 837,23"</f>
        <v>R$ 837,23</v>
      </c>
      <c r="K2103" t="str">
        <f>"R$ 837,24"</f>
        <v>R$ 837,24</v>
      </c>
    </row>
    <row r="2104" spans="1:11" x14ac:dyDescent="0.25">
      <c r="A2104" t="str">
        <f>"03642968 / 1"</f>
        <v>03642968 / 1</v>
      </c>
      <c r="B2104" t="str">
        <f>"Folha Mensal"</f>
        <v>Folha Mensal</v>
      </c>
      <c r="C2104" t="str">
        <f>"Virginia do Nascimento Rodrigues"</f>
        <v>Virginia do Nascimento Rodrigues</v>
      </c>
      <c r="D2104" t="str">
        <f>"PENSIONISTA"</f>
        <v>PENSIONISTA</v>
      </c>
      <c r="E2104" t="str">
        <f>"Pensionista"</f>
        <v>Pensionista</v>
      </c>
      <c r="F2104" t="str">
        <f>"R$ 1.674,47"</f>
        <v>R$ 1.674,47</v>
      </c>
      <c r="G2104" t="str">
        <f>"R$ 1.674,47"</f>
        <v>R$ 1.674,47</v>
      </c>
      <c r="H2104" t="str">
        <f t="shared" si="213"/>
        <v>R$ 0,00</v>
      </c>
      <c r="I2104" t="str">
        <f>"R$ 1.674,47"</f>
        <v>R$ 1.674,47</v>
      </c>
      <c r="J2104" t="str">
        <f>"R$ 0,00"</f>
        <v>R$ 0,00</v>
      </c>
      <c r="K2104" t="str">
        <f>"R$ 1.674,47"</f>
        <v>R$ 1.674,47</v>
      </c>
    </row>
    <row r="2105" spans="1:11" x14ac:dyDescent="0.25">
      <c r="A2105" t="str">
        <f>"00010774 / 1"</f>
        <v>00010774 / 1</v>
      </c>
      <c r="B2105" t="str">
        <f>"13° Salário Anual"</f>
        <v>13° Salário Anual</v>
      </c>
      <c r="C2105" t="str">
        <f>"Vitoria Maria das Gracas Santana Naiff"</f>
        <v>Vitoria Maria das Gracas Santana Naiff</v>
      </c>
      <c r="D2105" t="str">
        <f>"PROFESSOR"</f>
        <v>PROFESSOR</v>
      </c>
      <c r="E2105" t="str">
        <f>"Efetivo-Inativo I- RJUSM"</f>
        <v>Efetivo-Inativo I- RJUSM</v>
      </c>
      <c r="F2105" t="str">
        <f>"R$ 1.593,46"</f>
        <v>R$ 1.593,46</v>
      </c>
      <c r="G2105" t="str">
        <f>"R$ 1.991,82"</f>
        <v>R$ 1.991,82</v>
      </c>
      <c r="H2105" t="str">
        <f t="shared" si="213"/>
        <v>R$ 0,00</v>
      </c>
      <c r="I2105" t="str">
        <f>"R$ 1.991,82"</f>
        <v>R$ 1.991,82</v>
      </c>
      <c r="J2105" t="str">
        <f>"R$ 995,91"</f>
        <v>R$ 995,91</v>
      </c>
      <c r="K2105" t="str">
        <f>"R$ 995,91"</f>
        <v>R$ 995,91</v>
      </c>
    </row>
    <row r="2106" spans="1:11" x14ac:dyDescent="0.25">
      <c r="A2106" t="str">
        <f>"00010774 / 1"</f>
        <v>00010774 / 1</v>
      </c>
      <c r="B2106" t="str">
        <f>"Folha Mensal"</f>
        <v>Folha Mensal</v>
      </c>
      <c r="C2106" t="str">
        <f>"Vitoria Maria das Gracas Santana Naiff"</f>
        <v>Vitoria Maria das Gracas Santana Naiff</v>
      </c>
      <c r="D2106" t="str">
        <f>"PROFESSOR"</f>
        <v>PROFESSOR</v>
      </c>
      <c r="E2106" t="str">
        <f>"Efetivo-Inativo I- RJUSM"</f>
        <v>Efetivo-Inativo I- RJUSM</v>
      </c>
      <c r="F2106" t="str">
        <f>"R$ 1.593,46"</f>
        <v>R$ 1.593,46</v>
      </c>
      <c r="G2106" t="str">
        <f>"R$ 1.991,82"</f>
        <v>R$ 1.991,82</v>
      </c>
      <c r="H2106" t="str">
        <f t="shared" si="213"/>
        <v>R$ 0,00</v>
      </c>
      <c r="I2106" t="str">
        <f>"R$ 1.991,82"</f>
        <v>R$ 1.991,82</v>
      </c>
      <c r="J2106" t="str">
        <f>"R$ 693,26"</f>
        <v>R$ 693,26</v>
      </c>
      <c r="K2106" t="str">
        <f>"R$ 1.298,56"</f>
        <v>R$ 1.298,56</v>
      </c>
    </row>
    <row r="2107" spans="1:11" x14ac:dyDescent="0.25">
      <c r="A2107" t="str">
        <f>"03641813 / 1"</f>
        <v>03641813 / 1</v>
      </c>
      <c r="B2107" t="str">
        <f>"13° Salário Anual"</f>
        <v>13° Salário Anual</v>
      </c>
      <c r="C2107" t="str">
        <f>"Viviane Silva da Silva"</f>
        <v>Viviane Silva da Silva</v>
      </c>
      <c r="D2107" t="str">
        <f>"DAS 07"</f>
        <v>DAS 07</v>
      </c>
      <c r="E2107" t="str">
        <f>"Comissionado"</f>
        <v>Comissionado</v>
      </c>
      <c r="F2107" t="str">
        <f>"R$ 3.154,55"</f>
        <v>R$ 3.154,55</v>
      </c>
      <c r="G2107" t="str">
        <f>"R$ 3.154,55"</f>
        <v>R$ 3.154,55</v>
      </c>
      <c r="H2107" t="str">
        <f t="shared" si="213"/>
        <v>R$ 0,00</v>
      </c>
      <c r="I2107" t="str">
        <f>"R$ 3.154,55"</f>
        <v>R$ 3.154,55</v>
      </c>
      <c r="J2107" t="str">
        <f>"R$ 1.947,19"</f>
        <v>R$ 1.947,19</v>
      </c>
      <c r="K2107" t="str">
        <f>"R$ 1.207,36"</f>
        <v>R$ 1.207,36</v>
      </c>
    </row>
    <row r="2108" spans="1:11" x14ac:dyDescent="0.25">
      <c r="A2108" t="str">
        <f>"03641813 / 1"</f>
        <v>03641813 / 1</v>
      </c>
      <c r="B2108" t="str">
        <f>"Folha Mensal"</f>
        <v>Folha Mensal</v>
      </c>
      <c r="C2108" t="str">
        <f>"Viviane Silva da Silva"</f>
        <v>Viviane Silva da Silva</v>
      </c>
      <c r="D2108" t="str">
        <f>"DAS 07"</f>
        <v>DAS 07</v>
      </c>
      <c r="E2108" t="str">
        <f>"Comissionado"</f>
        <v>Comissionado</v>
      </c>
      <c r="F2108" t="str">
        <f>"R$ 3.154,55"</f>
        <v>R$ 3.154,55</v>
      </c>
      <c r="G2108" t="str">
        <f>"R$ 3.154,55"</f>
        <v>R$ 3.154,55</v>
      </c>
      <c r="H2108" t="str">
        <f>"R$ 288,00"</f>
        <v>R$ 288,00</v>
      </c>
      <c r="I2108" t="str">
        <f>"R$ 3.442,55"</f>
        <v>R$ 3.442,55</v>
      </c>
      <c r="J2108" t="str">
        <f>"R$ 559,19"</f>
        <v>R$ 559,19</v>
      </c>
      <c r="K2108" t="str">
        <f>"R$ 2.883,36"</f>
        <v>R$ 2.883,36</v>
      </c>
    </row>
    <row r="2109" spans="1:11" x14ac:dyDescent="0.25">
      <c r="A2109" t="str">
        <f>"00225428 / 1"</f>
        <v>00225428 / 1</v>
      </c>
      <c r="B2109" t="str">
        <f>"13° Salário Anual"</f>
        <v>13° Salário Anual</v>
      </c>
      <c r="C2109" t="str">
        <f>"Walda Maria Lima de Souza"</f>
        <v>Walda Maria Lima de Souza</v>
      </c>
      <c r="D2109" t="str">
        <f>"PROFESSOR NIVEL III"</f>
        <v>PROFESSOR NIVEL III</v>
      </c>
      <c r="E2109" t="str">
        <f>"Efetivo-Inativo I- RJUSM"</f>
        <v>Efetivo-Inativo I- RJUSM</v>
      </c>
      <c r="F2109" t="str">
        <f>"R$ 4.541,38"</f>
        <v>R$ 4.541,38</v>
      </c>
      <c r="G2109" t="str">
        <f>"R$ 9.446,07"</f>
        <v>R$ 9.446,07</v>
      </c>
      <c r="H2109" t="str">
        <f t="shared" ref="H2109:H2119" si="216">"R$ 0,00"</f>
        <v>R$ 0,00</v>
      </c>
      <c r="I2109" t="str">
        <f>"R$ 9.446,07"</f>
        <v>R$ 9.446,07</v>
      </c>
      <c r="J2109" t="str">
        <f>"R$ 4.101,40"</f>
        <v>R$ 4.101,40</v>
      </c>
      <c r="K2109" t="str">
        <f>"R$ 5.344,67"</f>
        <v>R$ 5.344,67</v>
      </c>
    </row>
    <row r="2110" spans="1:11" x14ac:dyDescent="0.25">
      <c r="A2110" t="str">
        <f>"00225428 / 1"</f>
        <v>00225428 / 1</v>
      </c>
      <c r="B2110" t="str">
        <f>"Folha Mensal"</f>
        <v>Folha Mensal</v>
      </c>
      <c r="C2110" t="str">
        <f>"Walda Maria Lima de Souza"</f>
        <v>Walda Maria Lima de Souza</v>
      </c>
      <c r="D2110" t="str">
        <f>"PROFESSOR NIVEL III"</f>
        <v>PROFESSOR NIVEL III</v>
      </c>
      <c r="E2110" t="str">
        <f>"Efetivo-Inativo I- RJUSM"</f>
        <v>Efetivo-Inativo I- RJUSM</v>
      </c>
      <c r="F2110" t="str">
        <f>"R$ 4.541,38"</f>
        <v>R$ 4.541,38</v>
      </c>
      <c r="G2110" t="str">
        <f>"R$ 9.446,07"</f>
        <v>R$ 9.446,07</v>
      </c>
      <c r="H2110" t="str">
        <f t="shared" si="216"/>
        <v>R$ 0,00</v>
      </c>
      <c r="I2110" t="str">
        <f>"R$ 9.446,07"</f>
        <v>R$ 9.446,07</v>
      </c>
      <c r="J2110" t="str">
        <f>"R$ 1.961,21"</f>
        <v>R$ 1.961,21</v>
      </c>
      <c r="K2110" t="str">
        <f>"R$ 7.484,86"</f>
        <v>R$ 7.484,86</v>
      </c>
    </row>
    <row r="2111" spans="1:11" x14ac:dyDescent="0.25">
      <c r="A2111" t="str">
        <f>"00006351 / 1"</f>
        <v>00006351 / 1</v>
      </c>
      <c r="B2111" t="str">
        <f>"13° Salário Anual"</f>
        <v>13° Salário Anual</v>
      </c>
      <c r="C2111" t="str">
        <f>"Waldilene dos Santos Sousa"</f>
        <v>Waldilene dos Santos Sousa</v>
      </c>
      <c r="D2111" t="str">
        <f>"PROFESSOR"</f>
        <v>PROFESSOR</v>
      </c>
      <c r="E2111" t="str">
        <f>"Efetivo-Inativo I- RJUSM"</f>
        <v>Efetivo-Inativo I- RJUSM</v>
      </c>
      <c r="F2111" t="str">
        <f>"R$ 1.593,46"</f>
        <v>R$ 1.593,46</v>
      </c>
      <c r="G2111" t="str">
        <f>"R$ 1.991,82"</f>
        <v>R$ 1.991,82</v>
      </c>
      <c r="H2111" t="str">
        <f t="shared" si="216"/>
        <v>R$ 0,00</v>
      </c>
      <c r="I2111" t="str">
        <f>"R$ 1.991,82"</f>
        <v>R$ 1.991,82</v>
      </c>
      <c r="J2111" t="str">
        <f>"R$ 995,91"</f>
        <v>R$ 995,91</v>
      </c>
      <c r="K2111" t="str">
        <f>"R$ 995,91"</f>
        <v>R$ 995,91</v>
      </c>
    </row>
    <row r="2112" spans="1:11" x14ac:dyDescent="0.25">
      <c r="A2112" t="str">
        <f>"00006351 / 1"</f>
        <v>00006351 / 1</v>
      </c>
      <c r="B2112" t="str">
        <f>"Folha Mensal"</f>
        <v>Folha Mensal</v>
      </c>
      <c r="C2112" t="str">
        <f>"Waldilene dos Santos Sousa"</f>
        <v>Waldilene dos Santos Sousa</v>
      </c>
      <c r="D2112" t="str">
        <f>"PROFESSOR"</f>
        <v>PROFESSOR</v>
      </c>
      <c r="E2112" t="str">
        <f>"Efetivo-Inativo I- RJUSM"</f>
        <v>Efetivo-Inativo I- RJUSM</v>
      </c>
      <c r="F2112" t="str">
        <f>"R$ 1.593,46"</f>
        <v>R$ 1.593,46</v>
      </c>
      <c r="G2112" t="str">
        <f>"R$ 1.991,82"</f>
        <v>R$ 1.991,82</v>
      </c>
      <c r="H2112" t="str">
        <f t="shared" si="216"/>
        <v>R$ 0,00</v>
      </c>
      <c r="I2112" t="str">
        <f>"R$ 1.991,82"</f>
        <v>R$ 1.991,82</v>
      </c>
      <c r="J2112" t="str">
        <f>"R$ 597,42"</f>
        <v>R$ 597,42</v>
      </c>
      <c r="K2112" t="str">
        <f>"R$ 1.394,40"</f>
        <v>R$ 1.394,40</v>
      </c>
    </row>
    <row r="2113" spans="1:11" x14ac:dyDescent="0.25">
      <c r="A2113" t="str">
        <f>"03643190 / 1"</f>
        <v>03643190 / 1</v>
      </c>
      <c r="B2113" t="str">
        <f>"13° Salário Anual"</f>
        <v>13° Salário Anual</v>
      </c>
      <c r="C2113" t="str">
        <f>"Waldmarina Franca Mendes de Lima"</f>
        <v>Waldmarina Franca Mendes de Lima</v>
      </c>
      <c r="D2113" t="str">
        <f>"PENSIONISTA"</f>
        <v>PENSIONISTA</v>
      </c>
      <c r="E2113" t="str">
        <f>"Pensionista"</f>
        <v>Pensionista</v>
      </c>
      <c r="F2113" t="str">
        <f>"R$ 2.083,87"</f>
        <v>R$ 2.083,87</v>
      </c>
      <c r="G2113" t="str">
        <f>"R$ 2.604,83"</f>
        <v>R$ 2.604,83</v>
      </c>
      <c r="H2113" t="str">
        <f t="shared" si="216"/>
        <v>R$ 0,00</v>
      </c>
      <c r="I2113" t="str">
        <f>"R$ 2.604,83"</f>
        <v>R$ 2.604,83</v>
      </c>
      <c r="J2113" t="str">
        <f>"R$ 1.302,41"</f>
        <v>R$ 1.302,41</v>
      </c>
      <c r="K2113" t="str">
        <f>"R$ 1.302,42"</f>
        <v>R$ 1.302,42</v>
      </c>
    </row>
    <row r="2114" spans="1:11" x14ac:dyDescent="0.25">
      <c r="A2114" t="str">
        <f>"03643190 / 1"</f>
        <v>03643190 / 1</v>
      </c>
      <c r="B2114" t="str">
        <f>"Folha Mensal"</f>
        <v>Folha Mensal</v>
      </c>
      <c r="C2114" t="str">
        <f>"Waldmarina Franca Mendes de Lima"</f>
        <v>Waldmarina Franca Mendes de Lima</v>
      </c>
      <c r="D2114" t="str">
        <f>"PENSIONISTA"</f>
        <v>PENSIONISTA</v>
      </c>
      <c r="E2114" t="str">
        <f>"Pensionista"</f>
        <v>Pensionista</v>
      </c>
      <c r="F2114" t="str">
        <f>"R$ 2.083,87"</f>
        <v>R$ 2.083,87</v>
      </c>
      <c r="G2114" t="str">
        <f>"R$ 2.604,83"</f>
        <v>R$ 2.604,83</v>
      </c>
      <c r="H2114" t="str">
        <f t="shared" si="216"/>
        <v>R$ 0,00</v>
      </c>
      <c r="I2114" t="str">
        <f>"R$ 2.604,83"</f>
        <v>R$ 2.604,83</v>
      </c>
      <c r="J2114" t="str">
        <f>"R$ 0,00"</f>
        <v>R$ 0,00</v>
      </c>
      <c r="K2114" t="str">
        <f>"R$ 2.604,83"</f>
        <v>R$ 2.604,83</v>
      </c>
    </row>
    <row r="2115" spans="1:11" x14ac:dyDescent="0.25">
      <c r="A2115" t="str">
        <f>"03641864 / 1"</f>
        <v>03641864 / 1</v>
      </c>
      <c r="B2115" t="str">
        <f>"13° Salário Anual"</f>
        <v>13° Salário Anual</v>
      </c>
      <c r="C2115" t="str">
        <f>"Walquiria Ines Monteiro"</f>
        <v>Walquiria Ines Monteiro</v>
      </c>
      <c r="D2115" t="str">
        <f>"PROFESSOR NIVEL II"</f>
        <v>PROFESSOR NIVEL II</v>
      </c>
      <c r="E2115" t="str">
        <f>"Efetivo-Inativos II-RJUSM"</f>
        <v>Efetivo-Inativos II-RJUSM</v>
      </c>
      <c r="F2115" t="str">
        <f>"R$ 5.417,82"</f>
        <v>R$ 5.417,82</v>
      </c>
      <c r="G2115" t="str">
        <f>"R$ 1.693,06"</f>
        <v>R$ 1.693,06</v>
      </c>
      <c r="H2115" t="str">
        <f t="shared" si="216"/>
        <v>R$ 0,00</v>
      </c>
      <c r="I2115" t="str">
        <f>"R$ 1.693,06"</f>
        <v>R$ 1.693,06</v>
      </c>
      <c r="J2115" t="str">
        <f>"R$ 0,00"</f>
        <v>R$ 0,00</v>
      </c>
      <c r="K2115" t="str">
        <f>"R$ 1.693,06"</f>
        <v>R$ 1.693,06</v>
      </c>
    </row>
    <row r="2116" spans="1:11" x14ac:dyDescent="0.25">
      <c r="A2116" t="str">
        <f>"03641864 / 1"</f>
        <v>03641864 / 1</v>
      </c>
      <c r="B2116" t="str">
        <f>"Folha Mensal"</f>
        <v>Folha Mensal</v>
      </c>
      <c r="C2116" t="str">
        <f>"Walquiria Ines Monteiro"</f>
        <v>Walquiria Ines Monteiro</v>
      </c>
      <c r="D2116" t="str">
        <f>"PROFESSOR NIVEL II"</f>
        <v>PROFESSOR NIVEL II</v>
      </c>
      <c r="E2116" t="str">
        <f>"Efetivo-Inativos II-RJUSM"</f>
        <v>Efetivo-Inativos II-RJUSM</v>
      </c>
      <c r="F2116" t="str">
        <f>"R$ 5.417,82"</f>
        <v>R$ 5.417,82</v>
      </c>
      <c r="G2116" t="str">
        <f>"R$ 6.772,27"</f>
        <v>R$ 6.772,27</v>
      </c>
      <c r="H2116" t="str">
        <f t="shared" si="216"/>
        <v>R$ 0,00</v>
      </c>
      <c r="I2116" t="str">
        <f>"R$ 6.772,27"</f>
        <v>R$ 6.772,27</v>
      </c>
      <c r="J2116" t="str">
        <f>"R$ 1.061,13"</f>
        <v>R$ 1.061,13</v>
      </c>
      <c r="K2116" t="str">
        <f>"R$ 5.711,14"</f>
        <v>R$ 5.711,14</v>
      </c>
    </row>
    <row r="2117" spans="1:11" x14ac:dyDescent="0.25">
      <c r="A2117" t="str">
        <f>"00052132 / 1"</f>
        <v>00052132 / 1</v>
      </c>
      <c r="B2117" t="str">
        <f>"13° Salário Anual"</f>
        <v>13° Salário Anual</v>
      </c>
      <c r="C2117" t="str">
        <f>"Walquiria Mira da Silva"</f>
        <v>Walquiria Mira da Silva</v>
      </c>
      <c r="D2117" t="str">
        <f>"PROFESSOR NIVEL II"</f>
        <v>PROFESSOR NIVEL II</v>
      </c>
      <c r="E2117" t="str">
        <f>"Efetivo-Inativos II-RJUSM"</f>
        <v>Efetivo-Inativos II-RJUSM</v>
      </c>
      <c r="F2117" t="str">
        <f>"R$ 2.549,55"</f>
        <v>R$ 2.549,55</v>
      </c>
      <c r="G2117" t="str">
        <f>"R$ 3.059,46"</f>
        <v>R$ 3.059,46</v>
      </c>
      <c r="H2117" t="str">
        <f t="shared" si="216"/>
        <v>R$ 0,00</v>
      </c>
      <c r="I2117" t="str">
        <f>"R$ 3.059,46"</f>
        <v>R$ 3.059,46</v>
      </c>
      <c r="J2117" t="str">
        <f>"R$ 1.529,73"</f>
        <v>R$ 1.529,73</v>
      </c>
      <c r="K2117" t="str">
        <f>"R$ 1.529,73"</f>
        <v>R$ 1.529,73</v>
      </c>
    </row>
    <row r="2118" spans="1:11" x14ac:dyDescent="0.25">
      <c r="A2118" t="str">
        <f>"00052132 / 1"</f>
        <v>00052132 / 1</v>
      </c>
      <c r="B2118" t="str">
        <f>"Folha Mensal"</f>
        <v>Folha Mensal</v>
      </c>
      <c r="C2118" t="str">
        <f>"Walquiria Mira da Silva"</f>
        <v>Walquiria Mira da Silva</v>
      </c>
      <c r="D2118" t="str">
        <f>"PROFESSOR NIVEL II"</f>
        <v>PROFESSOR NIVEL II</v>
      </c>
      <c r="E2118" t="str">
        <f>"Efetivo-Inativos II-RJUSM"</f>
        <v>Efetivo-Inativos II-RJUSM</v>
      </c>
      <c r="F2118" t="str">
        <f>"R$ 2.549,55"</f>
        <v>R$ 2.549,55</v>
      </c>
      <c r="G2118" t="str">
        <f>"R$ 3.059,46"</f>
        <v>R$ 3.059,46</v>
      </c>
      <c r="H2118" t="str">
        <f t="shared" si="216"/>
        <v>R$ 0,00</v>
      </c>
      <c r="I2118" t="str">
        <f>"R$ 3.059,46"</f>
        <v>R$ 3.059,46</v>
      </c>
      <c r="J2118" t="str">
        <f>"R$ 499,75"</f>
        <v>R$ 499,75</v>
      </c>
      <c r="K2118" t="str">
        <f>"R$ 2.559,71"</f>
        <v>R$ 2.559,71</v>
      </c>
    </row>
    <row r="2119" spans="1:11" x14ac:dyDescent="0.25">
      <c r="A2119" t="str">
        <f>"00120707 / 2"</f>
        <v>00120707 / 2</v>
      </c>
      <c r="B2119" t="str">
        <f>"13° Salário Anual"</f>
        <v>13° Salário Anual</v>
      </c>
      <c r="C2119" t="str">
        <f>"Wanda Lucia Cordovil de Azevedo"</f>
        <v>Wanda Lucia Cordovil de Azevedo</v>
      </c>
      <c r="D2119" t="str">
        <f>"DIRETOR DE BENEFICIOS"</f>
        <v>DIRETOR DE BENEFICIOS</v>
      </c>
      <c r="E2119" t="str">
        <f>"Comissionado"</f>
        <v>Comissionado</v>
      </c>
      <c r="F2119" t="str">
        <f>"R$ 3.154,55"</f>
        <v>R$ 3.154,55</v>
      </c>
      <c r="G2119" t="str">
        <f>"R$ 3.154,55"</f>
        <v>R$ 3.154,55</v>
      </c>
      <c r="H2119" t="str">
        <f t="shared" si="216"/>
        <v>R$ 0,00</v>
      </c>
      <c r="I2119" t="str">
        <f>"R$ 3.154,55"</f>
        <v>R$ 3.154,55</v>
      </c>
      <c r="J2119" t="str">
        <f>"R$ 1.947,19"</f>
        <v>R$ 1.947,19</v>
      </c>
      <c r="K2119" t="str">
        <f>"R$ 1.207,36"</f>
        <v>R$ 1.207,36</v>
      </c>
    </row>
    <row r="2120" spans="1:11" x14ac:dyDescent="0.25">
      <c r="A2120" t="str">
        <f>"00120707 / 2"</f>
        <v>00120707 / 2</v>
      </c>
      <c r="B2120" t="str">
        <f>"Folha Mensal"</f>
        <v>Folha Mensal</v>
      </c>
      <c r="C2120" t="str">
        <f>"Wanda Lucia Cordovil de Azevedo"</f>
        <v>Wanda Lucia Cordovil de Azevedo</v>
      </c>
      <c r="D2120" t="str">
        <f>"DIRETOR DE BENEFICIOS"</f>
        <v>DIRETOR DE BENEFICIOS</v>
      </c>
      <c r="E2120" t="str">
        <f>"Comissionado"</f>
        <v>Comissionado</v>
      </c>
      <c r="F2120" t="str">
        <f>"R$ 3.154,55"</f>
        <v>R$ 3.154,55</v>
      </c>
      <c r="G2120" t="str">
        <f>"R$ 6.309,10"</f>
        <v>R$ 6.309,10</v>
      </c>
      <c r="H2120" t="str">
        <f>"R$ 288,00"</f>
        <v>R$ 288,00</v>
      </c>
      <c r="I2120" t="str">
        <f>"R$ 6.597,10"</f>
        <v>R$ 6.597,10</v>
      </c>
      <c r="J2120" t="str">
        <f>"R$ 1.587,46"</f>
        <v>R$ 1.587,46</v>
      </c>
      <c r="K2120" t="str">
        <f>"R$ 5.009,64"</f>
        <v>R$ 5.009,64</v>
      </c>
    </row>
    <row r="2121" spans="1:11" x14ac:dyDescent="0.25">
      <c r="A2121" t="str">
        <f>"00023361 / 2"</f>
        <v>00023361 / 2</v>
      </c>
      <c r="B2121" t="str">
        <f>"13° Salário Anual"</f>
        <v>13° Salário Anual</v>
      </c>
      <c r="C2121" t="str">
        <f>"Wilma Luiza Correa"</f>
        <v>Wilma Luiza Correa</v>
      </c>
      <c r="D2121" t="str">
        <f>"PROFESSOR NIVEL III"</f>
        <v>PROFESSOR NIVEL III</v>
      </c>
      <c r="E2121" t="str">
        <f>"Efetivo-Inativos II-RJUSM"</f>
        <v>Efetivo-Inativos II-RJUSM</v>
      </c>
      <c r="F2121" t="str">
        <f>"R$ 6.055,17"</f>
        <v>R$ 6.055,17</v>
      </c>
      <c r="G2121" t="str">
        <f>"R$ 7.871,72"</f>
        <v>R$ 7.871,72</v>
      </c>
      <c r="H2121" t="str">
        <f t="shared" ref="H2121:H2127" si="217">"R$ 0,00"</f>
        <v>R$ 0,00</v>
      </c>
      <c r="I2121" t="str">
        <f>"R$ 7.871,72"</f>
        <v>R$ 7.871,72</v>
      </c>
      <c r="J2121" t="str">
        <f>"R$ 5.410,94"</f>
        <v>R$ 5.410,94</v>
      </c>
      <c r="K2121" t="str">
        <f>"R$ 2.460,78"</f>
        <v>R$ 2.460,78</v>
      </c>
    </row>
    <row r="2122" spans="1:11" x14ac:dyDescent="0.25">
      <c r="A2122" t="str">
        <f>"00023361 / 2"</f>
        <v>00023361 / 2</v>
      </c>
      <c r="B2122" t="str">
        <f>"Folha Mensal"</f>
        <v>Folha Mensal</v>
      </c>
      <c r="C2122" t="str">
        <f>"Wilma Luiza Correa"</f>
        <v>Wilma Luiza Correa</v>
      </c>
      <c r="D2122" t="str">
        <f>"PROFESSOR NIVEL III"</f>
        <v>PROFESSOR NIVEL III</v>
      </c>
      <c r="E2122" t="str">
        <f>"Efetivo-Inativos II-RJUSM"</f>
        <v>Efetivo-Inativos II-RJUSM</v>
      </c>
      <c r="F2122" t="str">
        <f>"R$ 6.055,17"</f>
        <v>R$ 6.055,17</v>
      </c>
      <c r="G2122" t="str">
        <f>"R$ 7.871,72"</f>
        <v>R$ 7.871,72</v>
      </c>
      <c r="H2122" t="str">
        <f t="shared" si="217"/>
        <v>R$ 0,00</v>
      </c>
      <c r="I2122" t="str">
        <f>"R$ 7.871,72"</f>
        <v>R$ 7.871,72</v>
      </c>
      <c r="J2122" t="str">
        <f>"R$ 3.697,91"</f>
        <v>R$ 3.697,91</v>
      </c>
      <c r="K2122" t="str">
        <f>"R$ 4.173,81"</f>
        <v>R$ 4.173,81</v>
      </c>
    </row>
    <row r="2123" spans="1:11" x14ac:dyDescent="0.25">
      <c r="A2123" t="str">
        <f>"03643131 / 1"</f>
        <v>03643131 / 1</v>
      </c>
      <c r="B2123" t="str">
        <f>"13° Salário Anual"</f>
        <v>13° Salário Anual</v>
      </c>
      <c r="C2123" t="str">
        <f>"Wilson Ajax Joubert"</f>
        <v>Wilson Ajax Joubert</v>
      </c>
      <c r="D2123" t="str">
        <f>"PENSIONISTA DE PROFESSOR"</f>
        <v>PENSIONISTA DE PROFESSOR</v>
      </c>
      <c r="E2123" t="str">
        <f>"Pensionista"</f>
        <v>Pensionista</v>
      </c>
      <c r="F2123" t="str">
        <f>"R$ 1.593,46"</f>
        <v>R$ 1.593,46</v>
      </c>
      <c r="G2123" t="str">
        <f>"R$ 1.991,82"</f>
        <v>R$ 1.991,82</v>
      </c>
      <c r="H2123" t="str">
        <f t="shared" si="217"/>
        <v>R$ 0,00</v>
      </c>
      <c r="I2123" t="str">
        <f>"R$ 1.991,82"</f>
        <v>R$ 1.991,82</v>
      </c>
      <c r="J2123" t="str">
        <f>"R$ 1.002,49"</f>
        <v>R$ 1.002,49</v>
      </c>
      <c r="K2123" t="str">
        <f>"R$ 989,33"</f>
        <v>R$ 989,33</v>
      </c>
    </row>
    <row r="2124" spans="1:11" x14ac:dyDescent="0.25">
      <c r="A2124" t="str">
        <f>"03643131 / 1"</f>
        <v>03643131 / 1</v>
      </c>
      <c r="B2124" t="str">
        <f>"Folha Mensal"</f>
        <v>Folha Mensal</v>
      </c>
      <c r="C2124" t="str">
        <f>"Wilson Ajax Joubert"</f>
        <v>Wilson Ajax Joubert</v>
      </c>
      <c r="D2124" t="str">
        <f>"PENSIONISTA DE PROFESSOR"</f>
        <v>PENSIONISTA DE PROFESSOR</v>
      </c>
      <c r="E2124" t="str">
        <f>"Pensionista"</f>
        <v>Pensionista</v>
      </c>
      <c r="F2124" t="str">
        <f>"R$ 1.593,46"</f>
        <v>R$ 1.593,46</v>
      </c>
      <c r="G2124" t="str">
        <f>"R$ 1.991,82"</f>
        <v>R$ 1.991,82</v>
      </c>
      <c r="H2124" t="str">
        <f t="shared" si="217"/>
        <v>R$ 0,00</v>
      </c>
      <c r="I2124" t="str">
        <f>"R$ 1.991,82"</f>
        <v>R$ 1.991,82</v>
      </c>
      <c r="J2124" t="str">
        <f>"R$ 533,07"</f>
        <v>R$ 533,07</v>
      </c>
      <c r="K2124" t="str">
        <f>"R$ 1.458,75"</f>
        <v>R$ 1.458,75</v>
      </c>
    </row>
    <row r="2125" spans="1:11" x14ac:dyDescent="0.25">
      <c r="A2125" t="str">
        <f>"03640744 / 1"</f>
        <v>03640744 / 1</v>
      </c>
      <c r="B2125" t="str">
        <f>"13° Salário Anual"</f>
        <v>13° Salário Anual</v>
      </c>
      <c r="C2125" t="str">
        <f>"Wilson Guilherme de Moura Abdon"</f>
        <v>Wilson Guilherme de Moura Abdon</v>
      </c>
      <c r="D2125" t="str">
        <f>"DIRETOR ADM. E FINANCEIRO"</f>
        <v>DIRETOR ADM. E FINANCEIRO</v>
      </c>
      <c r="E2125" t="str">
        <f>"Comissionado"</f>
        <v>Comissionado</v>
      </c>
      <c r="F2125" t="str">
        <f>"R$ 4.200,00"</f>
        <v>R$ 4.200,00</v>
      </c>
      <c r="G2125" t="str">
        <f>"R$ 3.850,00"</f>
        <v>R$ 3.850,00</v>
      </c>
      <c r="H2125" t="str">
        <f t="shared" si="217"/>
        <v>R$ 0,00</v>
      </c>
      <c r="I2125" t="str">
        <f>"R$ 3.850,00"</f>
        <v>R$ 3.850,00</v>
      </c>
      <c r="J2125" t="str">
        <f>"R$ 2.479,42"</f>
        <v>R$ 2.479,42</v>
      </c>
      <c r="K2125" t="str">
        <f>"R$ 1.370,58"</f>
        <v>R$ 1.370,58</v>
      </c>
    </row>
    <row r="2126" spans="1:11" x14ac:dyDescent="0.25">
      <c r="A2126" t="str">
        <f>"03640744 / 1"</f>
        <v>03640744 / 1</v>
      </c>
      <c r="B2126" t="str">
        <f>"Folha Mensal"</f>
        <v>Folha Mensal</v>
      </c>
      <c r="C2126" t="str">
        <f>"Wilson Guilherme de Moura Abdon"</f>
        <v>Wilson Guilherme de Moura Abdon</v>
      </c>
      <c r="D2126" t="str">
        <f>"DIRETOR ADM. E FINANCEIRO"</f>
        <v>DIRETOR ADM. E FINANCEIRO</v>
      </c>
      <c r="E2126" t="str">
        <f>"Comissionado"</f>
        <v>Comissionado</v>
      </c>
      <c r="F2126" t="str">
        <f>"R$ 4.200,00"</f>
        <v>R$ 4.200,00</v>
      </c>
      <c r="G2126" t="str">
        <f>"R$ 4.200,00"</f>
        <v>R$ 4.200,00</v>
      </c>
      <c r="H2126" t="str">
        <f t="shared" si="217"/>
        <v>R$ 0,00</v>
      </c>
      <c r="I2126" t="str">
        <f>"R$ 4.200,00"</f>
        <v>R$ 4.200,00</v>
      </c>
      <c r="J2126" t="str">
        <f>"R$ 649,30"</f>
        <v>R$ 649,30</v>
      </c>
      <c r="K2126" t="str">
        <f>"R$ 3.550,70"</f>
        <v>R$ 3.550,70</v>
      </c>
    </row>
    <row r="2127" spans="1:11" x14ac:dyDescent="0.25">
      <c r="A2127" t="str">
        <f>"03640221 / 1"</f>
        <v>03640221 / 1</v>
      </c>
      <c r="B2127" t="str">
        <f>"13° Salário Anual"</f>
        <v>13° Salário Anual</v>
      </c>
      <c r="C2127" t="str">
        <f>"Yandra Franca Chagas"</f>
        <v>Yandra Franca Chagas</v>
      </c>
      <c r="D2127" t="str">
        <f>"DAS 03"</f>
        <v>DAS 03</v>
      </c>
      <c r="E2127" t="str">
        <f>"Comissionado"</f>
        <v>Comissionado</v>
      </c>
      <c r="F2127" t="str">
        <f>"R$ 1.170,24"</f>
        <v>R$ 1.170,24</v>
      </c>
      <c r="G2127" t="str">
        <f>"R$ 1.170,24"</f>
        <v>R$ 1.170,24</v>
      </c>
      <c r="H2127" t="str">
        <f t="shared" si="217"/>
        <v>R$ 0,00</v>
      </c>
      <c r="I2127" t="str">
        <f>"R$ 1.170,24"</f>
        <v>R$ 1.170,24</v>
      </c>
      <c r="J2127" t="str">
        <f>"R$ 673,94"</f>
        <v>R$ 673,94</v>
      </c>
      <c r="K2127" t="str">
        <f>"R$ 496,30"</f>
        <v>R$ 496,30</v>
      </c>
    </row>
    <row r="2128" spans="1:11" x14ac:dyDescent="0.25">
      <c r="A2128" t="str">
        <f>"03640221 / 1"</f>
        <v>03640221 / 1</v>
      </c>
      <c r="B2128" t="str">
        <f>"Folha Mensal"</f>
        <v>Folha Mensal</v>
      </c>
      <c r="C2128" t="str">
        <f>"Yandra Franca Chagas"</f>
        <v>Yandra Franca Chagas</v>
      </c>
      <c r="D2128" t="str">
        <f>"DAS 03"</f>
        <v>DAS 03</v>
      </c>
      <c r="E2128" t="str">
        <f>"Comissionado"</f>
        <v>Comissionado</v>
      </c>
      <c r="F2128" t="str">
        <f>"R$ 1.170,24"</f>
        <v>R$ 1.170,24</v>
      </c>
      <c r="G2128" t="str">
        <f>"R$ 1.170,24"</f>
        <v>R$ 1.170,24</v>
      </c>
      <c r="H2128" t="str">
        <f>"R$ 288,00"</f>
        <v>R$ 288,00</v>
      </c>
      <c r="I2128" t="str">
        <f>"R$ 1.458,24"</f>
        <v>R$ 1.458,24</v>
      </c>
      <c r="J2128" t="str">
        <f>"R$ 159,03"</f>
        <v>R$ 159,03</v>
      </c>
      <c r="K2128" t="str">
        <f>"R$ 1.299,21"</f>
        <v>R$ 1.299,21</v>
      </c>
    </row>
    <row r="2129" spans="1:11" x14ac:dyDescent="0.25">
      <c r="A2129" t="str">
        <f>"00000965 / 1"</f>
        <v>00000965 / 1</v>
      </c>
      <c r="B2129" t="str">
        <f>"13° Salário Anual"</f>
        <v>13° Salário Anual</v>
      </c>
      <c r="C2129" t="str">
        <f>"Yolanda Paulino Soares"</f>
        <v>Yolanda Paulino Soares</v>
      </c>
      <c r="D2129" t="str">
        <f>"PROP IDADE"</f>
        <v>PROP IDADE</v>
      </c>
      <c r="E2129" t="str">
        <f>"Efetivo-Inativo I- RJUSM"</f>
        <v>Efetivo-Inativo I- RJUSM</v>
      </c>
      <c r="F2129" t="str">
        <f>"R$ 1.100,00"</f>
        <v>R$ 1.100,00</v>
      </c>
      <c r="G2129" t="str">
        <f>"R$ 1.100,00"</f>
        <v>R$ 1.100,00</v>
      </c>
      <c r="H2129" t="str">
        <f t="shared" ref="H2129:H2142" si="218">"R$ 0,00"</f>
        <v>R$ 0,00</v>
      </c>
      <c r="I2129" t="str">
        <f>"R$ 1.100,00"</f>
        <v>R$ 1.100,00</v>
      </c>
      <c r="J2129" t="str">
        <f>"R$ 550,00"</f>
        <v>R$ 550,00</v>
      </c>
      <c r="K2129" t="str">
        <f>"R$ 550,00"</f>
        <v>R$ 550,00</v>
      </c>
    </row>
    <row r="2130" spans="1:11" x14ac:dyDescent="0.25">
      <c r="A2130" t="str">
        <f>"00000965 / 1"</f>
        <v>00000965 / 1</v>
      </c>
      <c r="B2130" t="str">
        <f>"Folha Mensal"</f>
        <v>Folha Mensal</v>
      </c>
      <c r="C2130" t="str">
        <f>"Yolanda Paulino Soares"</f>
        <v>Yolanda Paulino Soares</v>
      </c>
      <c r="D2130" t="str">
        <f>"PROP IDADE"</f>
        <v>PROP IDADE</v>
      </c>
      <c r="E2130" t="str">
        <f>"Efetivo-Inativo I- RJUSM"</f>
        <v>Efetivo-Inativo I- RJUSM</v>
      </c>
      <c r="F2130" t="str">
        <f>"R$ 1.100,00"</f>
        <v>R$ 1.100,00</v>
      </c>
      <c r="G2130" t="str">
        <f>"R$ 1.100,00"</f>
        <v>R$ 1.100,00</v>
      </c>
      <c r="H2130" t="str">
        <f t="shared" si="218"/>
        <v>R$ 0,00</v>
      </c>
      <c r="I2130" t="str">
        <f>"R$ 1.100,00"</f>
        <v>R$ 1.100,00</v>
      </c>
      <c r="J2130" t="str">
        <f>"R$ 263,22"</f>
        <v>R$ 263,22</v>
      </c>
      <c r="K2130" t="str">
        <f>"R$ 836,78"</f>
        <v>R$ 836,78</v>
      </c>
    </row>
    <row r="2131" spans="1:11" x14ac:dyDescent="0.25">
      <c r="A2131" t="str">
        <f>"00406325 / 1"</f>
        <v>00406325 / 1</v>
      </c>
      <c r="B2131" t="str">
        <f>"13° Salário Anual"</f>
        <v>13° Salário Anual</v>
      </c>
      <c r="C2131" t="str">
        <f>"Yuri de Oliveira da Silva"</f>
        <v>Yuri de Oliveira da Silva</v>
      </c>
      <c r="D2131" t="str">
        <f>"PENSIONISTA DE PROFESSOR"</f>
        <v>PENSIONISTA DE PROFESSOR</v>
      </c>
      <c r="E2131" t="str">
        <f>"Pensionista"</f>
        <v>Pensionista</v>
      </c>
      <c r="F2131" t="str">
        <f>"R$ 1.593,46"</f>
        <v>R$ 1.593,46</v>
      </c>
      <c r="G2131" t="str">
        <f>"R$ 1.991,82"</f>
        <v>R$ 1.991,82</v>
      </c>
      <c r="H2131" t="str">
        <f t="shared" si="218"/>
        <v>R$ 0,00</v>
      </c>
      <c r="I2131" t="str">
        <f>"R$ 1.991,82"</f>
        <v>R$ 1.991,82</v>
      </c>
      <c r="J2131" t="str">
        <f>"R$ 995,91"</f>
        <v>R$ 995,91</v>
      </c>
      <c r="K2131" t="str">
        <f>"R$ 995,91"</f>
        <v>R$ 995,91</v>
      </c>
    </row>
    <row r="2132" spans="1:11" x14ac:dyDescent="0.25">
      <c r="A2132" t="str">
        <f>"00406325 / 1"</f>
        <v>00406325 / 1</v>
      </c>
      <c r="B2132" t="str">
        <f>"Folha Mensal"</f>
        <v>Folha Mensal</v>
      </c>
      <c r="C2132" t="str">
        <f>"Yuri de Oliveira da Silva"</f>
        <v>Yuri de Oliveira da Silva</v>
      </c>
      <c r="D2132" t="str">
        <f>"PENSIONISTA DE PROFESSOR"</f>
        <v>PENSIONISTA DE PROFESSOR</v>
      </c>
      <c r="E2132" t="str">
        <f>"Pensionista"</f>
        <v>Pensionista</v>
      </c>
      <c r="F2132" t="str">
        <f>"R$ 1.593,46"</f>
        <v>R$ 1.593,46</v>
      </c>
      <c r="G2132" t="str">
        <f>"R$ 1.991,82"</f>
        <v>R$ 1.991,82</v>
      </c>
      <c r="H2132" t="str">
        <f t="shared" si="218"/>
        <v>R$ 0,00</v>
      </c>
      <c r="I2132" t="str">
        <f>"R$ 1.991,82"</f>
        <v>R$ 1.991,82</v>
      </c>
      <c r="J2132" t="str">
        <f>"R$ 0,00"</f>
        <v>R$ 0,00</v>
      </c>
      <c r="K2132" t="str">
        <f>"R$ 1.991,82"</f>
        <v>R$ 1.991,82</v>
      </c>
    </row>
    <row r="2133" spans="1:11" x14ac:dyDescent="0.25">
      <c r="A2133" t="str">
        <f>"00001120 / 2"</f>
        <v>00001120 / 2</v>
      </c>
      <c r="B2133" t="str">
        <f>"13° Salário Anual"</f>
        <v>13° Salário Anual</v>
      </c>
      <c r="C2133" t="str">
        <f>"Zeni Fernandes Soares"</f>
        <v>Zeni Fernandes Soares</v>
      </c>
      <c r="D2133" t="str">
        <f>"PROFESSOR"</f>
        <v>PROFESSOR</v>
      </c>
      <c r="E2133" t="str">
        <f t="shared" ref="E2133:E2138" si="219">"Efetivo-Inativo I- RJUSM"</f>
        <v>Efetivo-Inativo I- RJUSM</v>
      </c>
      <c r="F2133" t="str">
        <f>"R$ 2.071,51"</f>
        <v>R$ 2.071,51</v>
      </c>
      <c r="G2133" t="str">
        <f>"R$ 2.589,38"</f>
        <v>R$ 2.589,38</v>
      </c>
      <c r="H2133" t="str">
        <f t="shared" si="218"/>
        <v>R$ 0,00</v>
      </c>
      <c r="I2133" t="str">
        <f>"R$ 2.589,38"</f>
        <v>R$ 2.589,38</v>
      </c>
      <c r="J2133" t="str">
        <f>"R$ 1.346,09"</f>
        <v>R$ 1.346,09</v>
      </c>
      <c r="K2133" t="str">
        <f>"R$ 1.243,29"</f>
        <v>R$ 1.243,29</v>
      </c>
    </row>
    <row r="2134" spans="1:11" x14ac:dyDescent="0.25">
      <c r="A2134" t="str">
        <f>"00001120 / 2"</f>
        <v>00001120 / 2</v>
      </c>
      <c r="B2134" t="str">
        <f>"Folha Mensal"</f>
        <v>Folha Mensal</v>
      </c>
      <c r="C2134" t="str">
        <f>"Zeni Fernandes Soares"</f>
        <v>Zeni Fernandes Soares</v>
      </c>
      <c r="D2134" t="str">
        <f>"PROFESSOR"</f>
        <v>PROFESSOR</v>
      </c>
      <c r="E2134" t="str">
        <f t="shared" si="219"/>
        <v>Efetivo-Inativo I- RJUSM</v>
      </c>
      <c r="F2134" t="str">
        <f>"R$ 2.071,51"</f>
        <v>R$ 2.071,51</v>
      </c>
      <c r="G2134" t="str">
        <f>"R$ 2.589,38"</f>
        <v>R$ 2.589,38</v>
      </c>
      <c r="H2134" t="str">
        <f t="shared" si="218"/>
        <v>R$ 0,00</v>
      </c>
      <c r="I2134" t="str">
        <f>"R$ 2.589,38"</f>
        <v>R$ 2.589,38</v>
      </c>
      <c r="J2134" t="str">
        <f>"R$ 781,04"</f>
        <v>R$ 781,04</v>
      </c>
      <c r="K2134" t="str">
        <f>"R$ 1.808,34"</f>
        <v>R$ 1.808,34</v>
      </c>
    </row>
    <row r="2135" spans="1:11" x14ac:dyDescent="0.25">
      <c r="A2135" t="str">
        <f>"00008630 / 1"</f>
        <v>00008630 / 1</v>
      </c>
      <c r="B2135" t="str">
        <f>"13° Salário Anual"</f>
        <v>13° Salário Anual</v>
      </c>
      <c r="C2135" t="str">
        <f>"Zilah Greijal Gouvea"</f>
        <v>Zilah Greijal Gouvea</v>
      </c>
      <c r="D2135" t="str">
        <f>"PROP IDADE"</f>
        <v>PROP IDADE</v>
      </c>
      <c r="E2135" t="str">
        <f t="shared" si="219"/>
        <v>Efetivo-Inativo I- RJUSM</v>
      </c>
      <c r="F2135" t="str">
        <f>"R$ 2.735,58"</f>
        <v>R$ 2.735,58</v>
      </c>
      <c r="G2135" t="str">
        <f>"R$ 2.735,58"</f>
        <v>R$ 2.735,58</v>
      </c>
      <c r="H2135" t="str">
        <f t="shared" si="218"/>
        <v>R$ 0,00</v>
      </c>
      <c r="I2135" t="str">
        <f>"R$ 2.735,58"</f>
        <v>R$ 2.735,58</v>
      </c>
      <c r="J2135" t="str">
        <f>"R$ 1.367,79"</f>
        <v>R$ 1.367,79</v>
      </c>
      <c r="K2135" t="str">
        <f>"R$ 1.367,79"</f>
        <v>R$ 1.367,79</v>
      </c>
    </row>
    <row r="2136" spans="1:11" x14ac:dyDescent="0.25">
      <c r="A2136" t="str">
        <f>"00008630 / 1"</f>
        <v>00008630 / 1</v>
      </c>
      <c r="B2136" t="str">
        <f>"Folha Mensal"</f>
        <v>Folha Mensal</v>
      </c>
      <c r="C2136" t="str">
        <f>"Zilah Greijal Gouvea"</f>
        <v>Zilah Greijal Gouvea</v>
      </c>
      <c r="D2136" t="str">
        <f>"PROP IDADE"</f>
        <v>PROP IDADE</v>
      </c>
      <c r="E2136" t="str">
        <f t="shared" si="219"/>
        <v>Efetivo-Inativo I- RJUSM</v>
      </c>
      <c r="F2136" t="str">
        <f>"R$ 2.735,58"</f>
        <v>R$ 2.735,58</v>
      </c>
      <c r="G2136" t="str">
        <f>"R$ 2.735,58"</f>
        <v>R$ 2.735,58</v>
      </c>
      <c r="H2136" t="str">
        <f t="shared" si="218"/>
        <v>R$ 0,00</v>
      </c>
      <c r="I2136" t="str">
        <f>"R$ 2.735,58"</f>
        <v>R$ 2.735,58</v>
      </c>
      <c r="J2136" t="str">
        <f>"R$ 0,00"</f>
        <v>R$ 0,00</v>
      </c>
      <c r="K2136" t="str">
        <f>"R$ 2.735,58"</f>
        <v>R$ 2.735,58</v>
      </c>
    </row>
    <row r="2137" spans="1:11" x14ac:dyDescent="0.25">
      <c r="A2137" t="str">
        <f>"00022705 / 1"</f>
        <v>00022705 / 1</v>
      </c>
      <c r="B2137" t="str">
        <f>"13° Salário Anual"</f>
        <v>13° Salário Anual</v>
      </c>
      <c r="C2137" t="str">
        <f>"Zilma Braga da Silva"</f>
        <v>Zilma Braga da Silva</v>
      </c>
      <c r="D2137" t="str">
        <f>"PROFESSOR"</f>
        <v>PROFESSOR</v>
      </c>
      <c r="E2137" t="str">
        <f t="shared" si="219"/>
        <v>Efetivo-Inativo I- RJUSM</v>
      </c>
      <c r="F2137" t="str">
        <f>"R$ 1.593,46"</f>
        <v>R$ 1.593,46</v>
      </c>
      <c r="G2137" t="str">
        <f>"R$ 2.071,49"</f>
        <v>R$ 2.071,49</v>
      </c>
      <c r="H2137" t="str">
        <f t="shared" si="218"/>
        <v>R$ 0,00</v>
      </c>
      <c r="I2137" t="str">
        <f>"R$ 2.071,49"</f>
        <v>R$ 2.071,49</v>
      </c>
      <c r="J2137" t="str">
        <f>"R$ 1.048,30"</f>
        <v>R$ 1.048,30</v>
      </c>
      <c r="K2137" t="str">
        <f>"R$ 1.023,19"</f>
        <v>R$ 1.023,19</v>
      </c>
    </row>
    <row r="2138" spans="1:11" x14ac:dyDescent="0.25">
      <c r="A2138" t="str">
        <f>"00022705 / 1"</f>
        <v>00022705 / 1</v>
      </c>
      <c r="B2138" t="str">
        <f>"Folha Mensal"</f>
        <v>Folha Mensal</v>
      </c>
      <c r="C2138" t="str">
        <f>"Zilma Braga da Silva"</f>
        <v>Zilma Braga da Silva</v>
      </c>
      <c r="D2138" t="str">
        <f>"PROFESSOR"</f>
        <v>PROFESSOR</v>
      </c>
      <c r="E2138" t="str">
        <f t="shared" si="219"/>
        <v>Efetivo-Inativo I- RJUSM</v>
      </c>
      <c r="F2138" t="str">
        <f>"R$ 1.593,46"</f>
        <v>R$ 1.593,46</v>
      </c>
      <c r="G2138" t="str">
        <f>"R$ 2.071,49"</f>
        <v>R$ 2.071,49</v>
      </c>
      <c r="H2138" t="str">
        <f t="shared" si="218"/>
        <v>R$ 0,00</v>
      </c>
      <c r="I2138" t="str">
        <f>"R$ 2.071,49"</f>
        <v>R$ 2.071,49</v>
      </c>
      <c r="J2138" t="str">
        <f>"R$ 12,56"</f>
        <v>R$ 12,56</v>
      </c>
      <c r="K2138" t="str">
        <f>"R$ 2.058,93"</f>
        <v>R$ 2.058,93</v>
      </c>
    </row>
    <row r="2139" spans="1:11" x14ac:dyDescent="0.25">
      <c r="A2139" t="str">
        <f>"03643115 / 1"</f>
        <v>03643115 / 1</v>
      </c>
      <c r="B2139" t="str">
        <f>"13° Salário Anual"</f>
        <v>13° Salário Anual</v>
      </c>
      <c r="C2139" t="str">
        <f>"Zulema Fontes dos Santos Seixas"</f>
        <v>Zulema Fontes dos Santos Seixas</v>
      </c>
      <c r="D2139" t="str">
        <f>"PENSIONISTA"</f>
        <v>PENSIONISTA</v>
      </c>
      <c r="E2139" t="str">
        <f>"Pensionista"</f>
        <v>Pensionista</v>
      </c>
      <c r="F2139" t="str">
        <f>"R$ 1.100,00"</f>
        <v>R$ 1.100,00</v>
      </c>
      <c r="G2139" t="str">
        <f>"R$ 1.375,00"</f>
        <v>R$ 1.375,00</v>
      </c>
      <c r="H2139" t="str">
        <f t="shared" si="218"/>
        <v>R$ 0,00</v>
      </c>
      <c r="I2139" t="str">
        <f>"R$ 1.375,00"</f>
        <v>R$ 1.375,00</v>
      </c>
      <c r="J2139" t="str">
        <f>"R$ 687,50"</f>
        <v>R$ 687,50</v>
      </c>
      <c r="K2139" t="str">
        <f>"R$ 687,50"</f>
        <v>R$ 687,50</v>
      </c>
    </row>
    <row r="2140" spans="1:11" x14ac:dyDescent="0.25">
      <c r="A2140" t="str">
        <f>"03643115 / 1"</f>
        <v>03643115 / 1</v>
      </c>
      <c r="B2140" t="str">
        <f>"Folha Mensal"</f>
        <v>Folha Mensal</v>
      </c>
      <c r="C2140" t="str">
        <f>"Zulema Fontes dos Santos Seixas"</f>
        <v>Zulema Fontes dos Santos Seixas</v>
      </c>
      <c r="D2140" t="str">
        <f>"PENSIONISTA"</f>
        <v>PENSIONISTA</v>
      </c>
      <c r="E2140" t="str">
        <f>"Pensionista"</f>
        <v>Pensionista</v>
      </c>
      <c r="F2140" t="str">
        <f>"R$ 1.100,00"</f>
        <v>R$ 1.100,00</v>
      </c>
      <c r="G2140" t="str">
        <f>"R$ 1.375,00"</f>
        <v>R$ 1.375,00</v>
      </c>
      <c r="H2140" t="str">
        <f t="shared" si="218"/>
        <v>R$ 0,00</v>
      </c>
      <c r="I2140" t="str">
        <f>"R$ 1.375,00"</f>
        <v>R$ 1.375,00</v>
      </c>
      <c r="J2140" t="str">
        <f>"R$ 328,15"</f>
        <v>R$ 328,15</v>
      </c>
      <c r="K2140" t="str">
        <f>"R$ 1.046,85"</f>
        <v>R$ 1.046,85</v>
      </c>
    </row>
    <row r="2141" spans="1:11" x14ac:dyDescent="0.25">
      <c r="A2141" t="str">
        <f>"00006386 / 2"</f>
        <v>00006386 / 2</v>
      </c>
      <c r="B2141" t="str">
        <f>"13° Salário Anual"</f>
        <v>13° Salário Anual</v>
      </c>
      <c r="C2141" t="str">
        <f>"Zulma Dias Padre"</f>
        <v>Zulma Dias Padre</v>
      </c>
      <c r="D2141" t="str">
        <f>"PROP IDADE"</f>
        <v>PROP IDADE</v>
      </c>
      <c r="E2141" t="str">
        <f>"Efetivo-Inativo I- RJUSM"</f>
        <v>Efetivo-Inativo I- RJUSM</v>
      </c>
      <c r="F2141" t="str">
        <f>"R$ 1.100,00"</f>
        <v>R$ 1.100,00</v>
      </c>
      <c r="G2141" t="str">
        <f>"R$ 1.100,00"</f>
        <v>R$ 1.100,00</v>
      </c>
      <c r="H2141" t="str">
        <f t="shared" si="218"/>
        <v>R$ 0,00</v>
      </c>
      <c r="I2141" t="str">
        <f>"R$ 1.100,00"</f>
        <v>R$ 1.100,00</v>
      </c>
      <c r="J2141" t="str">
        <f>"R$ 550,00"</f>
        <v>R$ 550,00</v>
      </c>
      <c r="K2141" t="str">
        <f>"R$ 550,00"</f>
        <v>R$ 550,00</v>
      </c>
    </row>
    <row r="2142" spans="1:11" x14ac:dyDescent="0.25">
      <c r="A2142" t="str">
        <f>"00006386 / 2"</f>
        <v>00006386 / 2</v>
      </c>
      <c r="B2142" t="str">
        <f>"Folha Mensal"</f>
        <v>Folha Mensal</v>
      </c>
      <c r="C2142" t="str">
        <f>"Zulma Dias Padre"</f>
        <v>Zulma Dias Padre</v>
      </c>
      <c r="D2142" t="str">
        <f>"PROP IDADE"</f>
        <v>PROP IDADE</v>
      </c>
      <c r="E2142" t="str">
        <f>"Efetivo-Inativo I- RJUSM"</f>
        <v>Efetivo-Inativo I- RJUSM</v>
      </c>
      <c r="F2142" t="str">
        <f>"R$ 1.100,00"</f>
        <v>R$ 1.100,00</v>
      </c>
      <c r="G2142" t="str">
        <f>"R$ 1.100,00"</f>
        <v>R$ 1.100,00</v>
      </c>
      <c r="H2142" t="str">
        <f t="shared" si="218"/>
        <v>R$ 0,00</v>
      </c>
      <c r="I2142" t="str">
        <f>"R$ 1.100,00"</f>
        <v>R$ 1.100,00</v>
      </c>
      <c r="J2142" t="str">
        <f>"R$ 327,79"</f>
        <v>R$ 327,79</v>
      </c>
      <c r="K2142" t="str">
        <f>"R$ 772,21"</f>
        <v>R$ 772,21</v>
      </c>
    </row>
    <row r="2143" spans="1:11" x14ac:dyDescent="0.25">
      <c r="A2143" t="str">
        <f>"Totais"</f>
        <v>Totais</v>
      </c>
      <c r="B2143" t="str">
        <f>""</f>
        <v/>
      </c>
      <c r="C2143" t="str">
        <f>""</f>
        <v/>
      </c>
      <c r="D2143" t="str">
        <f>""</f>
        <v/>
      </c>
      <c r="E2143" t="str">
        <f>""</f>
        <v/>
      </c>
      <c r="F2143" t="str">
        <f>"R$ 5.067.624,46"</f>
        <v>R$ 5.067.624,46</v>
      </c>
      <c r="G2143" t="str">
        <f>"R$ 6.187.975,98"</f>
        <v>R$ 6.187.975,98</v>
      </c>
      <c r="H2143" t="str">
        <f>"R$ 7.785,81"</f>
        <v>R$ 7.785,81</v>
      </c>
      <c r="I2143" t="str">
        <f>"R$ 6.195.761,79"</f>
        <v>R$ 6.195.761,79</v>
      </c>
      <c r="J2143" t="str">
        <f>"R$ 2.385.501,25"</f>
        <v>R$ 2.385.501,25</v>
      </c>
      <c r="K2143" t="str">
        <f>"R$ 3.810.260,54"</f>
        <v>R$ 3.810.260,54</v>
      </c>
    </row>
    <row r="2144" spans="1:11" x14ac:dyDescent="0.25">
      <c r="A2144" t="str">
        <f>"PRONIM TB - 05/10/2022 10:13:39 - Pessoal"</f>
        <v>PRONIM TB - 05/10/2022 10:13:39 - Pessoal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DEZEMBRO E 13 SALARIO DE 2021 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DeodoroCR2</dc:creator>
  <cp:lastModifiedBy>DeodoroCR2</cp:lastModifiedBy>
  <dcterms:created xsi:type="dcterms:W3CDTF">2022-10-05T13:31:16Z</dcterms:created>
  <dcterms:modified xsi:type="dcterms:W3CDTF">2022-10-05T13:31:16Z</dcterms:modified>
</cp:coreProperties>
</file>